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245" yWindow="3285" windowWidth="14805" windowHeight="8010" firstSheet="3" activeTab="6"/>
  </bookViews>
  <sheets>
    <sheet name="Trip GHG Generation Comparison" sheetId="1" r:id="rId1"/>
    <sheet name="Construction Emission Results" sheetId="8" r:id="rId2"/>
    <sheet name="Operational Diesel Emissions" sheetId="5" r:id="rId3"/>
    <sheet name="Limestone Delivery Emissions" sheetId="11" r:id="rId4"/>
    <sheet name="Op. LK Calcination-NG Emissions" sheetId="6" r:id="rId5"/>
    <sheet name="Other Operational Emissions" sheetId="9" r:id="rId6"/>
    <sheet name="Emissions Summary" sheetId="7" r:id="rId7"/>
    <sheet name="Theoretical Max GHG (Lime Kiln)" sheetId="2" r:id="rId8"/>
  </sheets>
  <definedNames>
    <definedName name="_xlnm.Print_Area" localSheetId="1">'Construction Emission Results'!$A$1:$Q$50</definedName>
    <definedName name="_xlnm.Print_Area" localSheetId="6">'Emissions Summary'!$A$1:$W$27</definedName>
    <definedName name="_xlnm.Print_Area" localSheetId="3">'Limestone Delivery Emissions'!$A$1:$F$60</definedName>
    <definedName name="_xlnm.Print_Area" localSheetId="4">'Op. LK Calcination-NG Emissions'!$A$1:$R$47</definedName>
    <definedName name="_xlnm.Print_Area" localSheetId="2">'Operational Diesel Emissions'!$A$1:$P$58</definedName>
    <definedName name="_xlnm.Print_Area" localSheetId="5">'Other Operational Emissions'!$A$1:$Q$38</definedName>
    <definedName name="_xlnm.Print_Area" localSheetId="0">'Trip GHG Generation Comparison'!$C$2:$Q$14</definedName>
  </definedNames>
  <calcPr calcId="162913"/>
</workbook>
</file>

<file path=xl/calcChain.xml><?xml version="1.0" encoding="utf-8"?>
<calcChain xmlns="http://schemas.openxmlformats.org/spreadsheetml/2006/main">
  <c r="H23" i="9" l="1"/>
  <c r="H24" i="9"/>
  <c r="H25" i="9"/>
  <c r="H26" i="9"/>
  <c r="H22" i="9"/>
  <c r="R15" i="6" l="1"/>
  <c r="I36" i="9" l="1"/>
  <c r="F36" i="9"/>
  <c r="K23" i="9" l="1"/>
  <c r="K24" i="9"/>
  <c r="K26" i="9"/>
  <c r="K22" i="9"/>
  <c r="K25" i="9"/>
  <c r="Q29" i="9"/>
  <c r="P29" i="9"/>
  <c r="O29" i="9"/>
  <c r="N29" i="9"/>
  <c r="M29" i="9"/>
  <c r="L29" i="9"/>
  <c r="J29" i="9"/>
  <c r="I29" i="9"/>
  <c r="G29" i="9"/>
  <c r="F29" i="9"/>
  <c r="E29" i="9"/>
  <c r="D29" i="9"/>
  <c r="C29" i="9"/>
  <c r="B29" i="9"/>
  <c r="D40" i="6"/>
  <c r="K29" i="9" l="1"/>
  <c r="K36" i="9" s="1"/>
  <c r="H29" i="9"/>
  <c r="H36" i="9" s="1"/>
  <c r="D45" i="11" l="1"/>
  <c r="F45" i="11" s="1"/>
  <c r="D4" i="11"/>
  <c r="E17" i="11" s="1"/>
  <c r="H17" i="11" s="1"/>
  <c r="G17" i="11" l="1"/>
  <c r="D44" i="11"/>
  <c r="F44" i="11" s="1"/>
  <c r="E45" i="11"/>
  <c r="E14" i="11"/>
  <c r="E19" i="11"/>
  <c r="E23" i="11"/>
  <c r="E9" i="11"/>
  <c r="E27" i="11"/>
  <c r="E10" i="11"/>
  <c r="E15" i="11"/>
  <c r="E16" i="11"/>
  <c r="E13" i="11"/>
  <c r="E18" i="11"/>
  <c r="E21" i="11"/>
  <c r="E25" i="11"/>
  <c r="E20" i="11"/>
  <c r="E24" i="11"/>
  <c r="E28" i="11"/>
  <c r="E11" i="11"/>
  <c r="E22" i="11"/>
  <c r="E26" i="11"/>
  <c r="E12" i="11"/>
  <c r="G23" i="11" l="1"/>
  <c r="H23" i="11"/>
  <c r="H16" i="11"/>
  <c r="G16" i="11"/>
  <c r="D36" i="11"/>
  <c r="G10" i="11"/>
  <c r="H10" i="11"/>
  <c r="G22" i="11"/>
  <c r="H22" i="11"/>
  <c r="D34" i="11"/>
  <c r="G24" i="11"/>
  <c r="H24" i="11"/>
  <c r="D35" i="11"/>
  <c r="G18" i="11"/>
  <c r="H18" i="11"/>
  <c r="H11" i="11"/>
  <c r="G11" i="11"/>
  <c r="H19" i="11"/>
  <c r="G19" i="11"/>
  <c r="G12" i="11"/>
  <c r="H12" i="11"/>
  <c r="H26" i="11"/>
  <c r="G26" i="11"/>
  <c r="G27" i="11"/>
  <c r="H27" i="11"/>
  <c r="G28" i="11"/>
  <c r="H28" i="11"/>
  <c r="H20" i="11"/>
  <c r="G20" i="11"/>
  <c r="G15" i="11"/>
  <c r="H15" i="11"/>
  <c r="H9" i="11"/>
  <c r="G9" i="11"/>
  <c r="G14" i="11"/>
  <c r="H14" i="11"/>
  <c r="G25" i="11"/>
  <c r="H25" i="11"/>
  <c r="H21" i="11"/>
  <c r="G21" i="11"/>
  <c r="E44" i="11"/>
  <c r="D31" i="11"/>
  <c r="H13" i="11"/>
  <c r="G13" i="11"/>
  <c r="D33" i="11"/>
  <c r="D32" i="11"/>
  <c r="D43" i="11"/>
  <c r="D38" i="11"/>
  <c r="D41" i="11"/>
  <c r="D30" i="11"/>
  <c r="D40" i="11" l="1"/>
  <c r="F33" i="11"/>
  <c r="E33" i="11"/>
  <c r="E36" i="11"/>
  <c r="F36" i="11"/>
  <c r="D39" i="11"/>
  <c r="F32" i="11"/>
  <c r="E32" i="11"/>
  <c r="E41" i="11"/>
  <c r="F41" i="11"/>
  <c r="E34" i="11"/>
  <c r="F34" i="11"/>
  <c r="E38" i="11"/>
  <c r="F38" i="11"/>
  <c r="E43" i="11"/>
  <c r="F43" i="11"/>
  <c r="F31" i="11"/>
  <c r="E31" i="11"/>
  <c r="F30" i="11"/>
  <c r="E30" i="11"/>
  <c r="D42" i="11"/>
  <c r="E35" i="11"/>
  <c r="F35" i="11"/>
  <c r="D37" i="11"/>
  <c r="E42" i="11" l="1"/>
  <c r="F42" i="11"/>
  <c r="E37" i="11"/>
  <c r="F37" i="11"/>
  <c r="E39" i="11"/>
  <c r="F39" i="11"/>
  <c r="F40" i="11"/>
  <c r="E40" i="11"/>
  <c r="L6" i="6" l="1"/>
  <c r="I33" i="6"/>
  <c r="D42" i="6" l="1"/>
  <c r="D35" i="5" l="1"/>
  <c r="D38" i="5" s="1"/>
  <c r="E33" i="5"/>
  <c r="D33" i="5"/>
  <c r="H22" i="5"/>
  <c r="H21" i="5"/>
  <c r="H27" i="5" s="1"/>
  <c r="G24" i="5"/>
  <c r="G25" i="5" s="1"/>
  <c r="G23" i="5"/>
  <c r="F24" i="5"/>
  <c r="F25" i="5" s="1"/>
  <c r="F23" i="5"/>
  <c r="E24" i="5"/>
  <c r="E23" i="5"/>
  <c r="D24" i="5"/>
  <c r="D23" i="5"/>
  <c r="H15" i="5"/>
  <c r="H26" i="5" s="1"/>
  <c r="H32" i="5" s="1"/>
  <c r="F15" i="5"/>
  <c r="D15" i="5"/>
  <c r="O12" i="5"/>
  <c r="O10" i="5"/>
  <c r="O11" i="5"/>
  <c r="O9" i="5"/>
  <c r="N36" i="5" s="1"/>
  <c r="N43" i="5" s="1"/>
  <c r="C37" i="9" l="1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B37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B34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F9" i="9"/>
  <c r="G9" i="9"/>
  <c r="H9" i="9"/>
  <c r="I9" i="9"/>
  <c r="J9" i="9"/>
  <c r="K9" i="9"/>
  <c r="L9" i="9"/>
  <c r="M9" i="9"/>
  <c r="N9" i="9"/>
  <c r="O9" i="9"/>
  <c r="P9" i="9"/>
  <c r="Q9" i="9"/>
  <c r="E9" i="9"/>
  <c r="D9" i="9"/>
  <c r="C9" i="9"/>
  <c r="B9" i="9"/>
  <c r="L50" i="8"/>
  <c r="P50" i="8"/>
  <c r="C45" i="8"/>
  <c r="C47" i="8" s="1"/>
  <c r="D45" i="8"/>
  <c r="D47" i="8" s="1"/>
  <c r="D15" i="7" s="1"/>
  <c r="E45" i="8"/>
  <c r="F45" i="8"/>
  <c r="G45" i="8"/>
  <c r="G47" i="8" s="1"/>
  <c r="H45" i="8"/>
  <c r="H47" i="8" s="1"/>
  <c r="F15" i="7" s="1"/>
  <c r="I45" i="8"/>
  <c r="I47" i="8" s="1"/>
  <c r="J45" i="8"/>
  <c r="K45" i="8"/>
  <c r="K47" i="8" s="1"/>
  <c r="G15" i="7" s="1"/>
  <c r="L45" i="8"/>
  <c r="L47" i="8" s="1"/>
  <c r="M45" i="8"/>
  <c r="M47" i="8" s="1"/>
  <c r="N45" i="8"/>
  <c r="N47" i="8" s="1"/>
  <c r="I16" i="7" s="1"/>
  <c r="I15" i="7" s="1"/>
  <c r="O45" i="8"/>
  <c r="O47" i="8" s="1"/>
  <c r="P45" i="8"/>
  <c r="P47" i="8" s="1"/>
  <c r="K16" i="7" s="1"/>
  <c r="K15" i="7" s="1"/>
  <c r="Q45" i="8"/>
  <c r="Q47" i="8" s="1"/>
  <c r="B45" i="8"/>
  <c r="B47" i="8" s="1"/>
  <c r="H15" i="7" s="1"/>
  <c r="C38" i="8"/>
  <c r="C40" i="8" s="1"/>
  <c r="D38" i="8"/>
  <c r="D40" i="8" s="1"/>
  <c r="E38" i="8"/>
  <c r="E40" i="8" s="1"/>
  <c r="F38" i="8"/>
  <c r="G38" i="8"/>
  <c r="G40" i="8" s="1"/>
  <c r="H38" i="8"/>
  <c r="H40" i="8" s="1"/>
  <c r="I38" i="8"/>
  <c r="I40" i="8" s="1"/>
  <c r="J38" i="8"/>
  <c r="J40" i="8" s="1"/>
  <c r="K38" i="8"/>
  <c r="K40" i="8" s="1"/>
  <c r="L38" i="8"/>
  <c r="L40" i="8" s="1"/>
  <c r="M38" i="8"/>
  <c r="M40" i="8" s="1"/>
  <c r="N38" i="8"/>
  <c r="N40" i="8" s="1"/>
  <c r="O38" i="8"/>
  <c r="O40" i="8" s="1"/>
  <c r="P38" i="8"/>
  <c r="Q38" i="8"/>
  <c r="Q40" i="8" s="1"/>
  <c r="B38" i="8"/>
  <c r="B40" i="8" s="1"/>
  <c r="J47" i="8"/>
  <c r="F47" i="8"/>
  <c r="E47" i="8"/>
  <c r="E15" i="7" s="1"/>
  <c r="P40" i="8"/>
  <c r="F40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B9" i="8"/>
  <c r="H38" i="9" l="1"/>
  <c r="O50" i="8"/>
  <c r="I50" i="8"/>
  <c r="G50" i="8"/>
  <c r="F50" i="8"/>
  <c r="C50" i="8"/>
  <c r="Q50" i="8"/>
  <c r="J16" i="7"/>
  <c r="J15" i="7" s="1"/>
  <c r="N50" i="8"/>
  <c r="M50" i="8"/>
  <c r="K50" i="8"/>
  <c r="J50" i="8"/>
  <c r="H50" i="8"/>
  <c r="E50" i="8"/>
  <c r="D50" i="8"/>
  <c r="C15" i="7"/>
  <c r="C23" i="7" s="1"/>
  <c r="U7" i="7"/>
  <c r="U6" i="7"/>
  <c r="H23" i="7"/>
  <c r="B50" i="8"/>
  <c r="F23" i="7"/>
  <c r="S6" i="7"/>
  <c r="S7" i="7" s="1"/>
  <c r="D23" i="7"/>
  <c r="Q6" i="7"/>
  <c r="Q7" i="7" s="1"/>
  <c r="E23" i="7"/>
  <c r="R6" i="7"/>
  <c r="R7" i="7" s="1"/>
  <c r="G23" i="7"/>
  <c r="T6" i="7"/>
  <c r="T7" i="7" s="1"/>
  <c r="I17" i="7"/>
  <c r="K17" i="7"/>
  <c r="J24" i="7"/>
  <c r="J23" i="7" s="1"/>
  <c r="K24" i="7"/>
  <c r="K23" i="7" s="1"/>
  <c r="I24" i="7"/>
  <c r="I23" i="7" s="1"/>
  <c r="J38" i="9"/>
  <c r="G38" i="9"/>
  <c r="B38" i="9"/>
  <c r="Q38" i="9"/>
  <c r="I38" i="9"/>
  <c r="P38" i="9"/>
  <c r="O38" i="9"/>
  <c r="N38" i="9"/>
  <c r="F38" i="9"/>
  <c r="K38" i="9"/>
  <c r="C38" i="9"/>
  <c r="M38" i="9"/>
  <c r="E38" i="9"/>
  <c r="L38" i="9"/>
  <c r="D38" i="9"/>
  <c r="J17" i="7" l="1"/>
  <c r="P6" i="7"/>
  <c r="P7" i="7" s="1"/>
  <c r="J18" i="7"/>
  <c r="J19" i="7" s="1"/>
  <c r="K25" i="7"/>
  <c r="J25" i="7"/>
  <c r="I25" i="7"/>
  <c r="O14" i="5"/>
  <c r="O26" i="5"/>
  <c r="O25" i="5"/>
  <c r="O22" i="5"/>
  <c r="O21" i="5"/>
  <c r="O28" i="5"/>
  <c r="O24" i="5"/>
  <c r="O20" i="5"/>
  <c r="O18" i="5"/>
  <c r="O16" i="5"/>
  <c r="O27" i="5"/>
  <c r="O23" i="5"/>
  <c r="O19" i="5"/>
  <c r="O17" i="5"/>
  <c r="O15" i="5"/>
  <c r="O13" i="5"/>
  <c r="G35" i="5"/>
  <c r="G38" i="5" s="1"/>
  <c r="F35" i="5"/>
  <c r="F38" i="5" s="1"/>
  <c r="E35" i="5"/>
  <c r="E38" i="5" s="1"/>
  <c r="G34" i="5"/>
  <c r="G37" i="5" s="1"/>
  <c r="F34" i="5"/>
  <c r="F37" i="5" s="1"/>
  <c r="E34" i="5"/>
  <c r="E37" i="5" s="1"/>
  <c r="D34" i="5"/>
  <c r="D37" i="5" s="1"/>
  <c r="G33" i="5"/>
  <c r="G36" i="5" s="1"/>
  <c r="F33" i="5"/>
  <c r="F36" i="5" s="1"/>
  <c r="E36" i="5"/>
  <c r="D36" i="5"/>
  <c r="N33" i="5" l="1"/>
  <c r="N40" i="5" s="1"/>
  <c r="N31" i="5"/>
  <c r="N38" i="5" s="1"/>
  <c r="N30" i="5"/>
  <c r="N37" i="5" s="1"/>
  <c r="N35" i="5"/>
  <c r="N42" i="5" s="1"/>
  <c r="N32" i="5"/>
  <c r="N39" i="5" s="1"/>
  <c r="N34" i="5"/>
  <c r="N41" i="5" s="1"/>
  <c r="J26" i="7"/>
  <c r="J27" i="7" s="1"/>
  <c r="V6" i="7"/>
  <c r="V7" i="7"/>
  <c r="G29" i="5" l="1"/>
  <c r="F29" i="5"/>
  <c r="E29" i="5"/>
  <c r="D29" i="5"/>
  <c r="D25" i="5"/>
  <c r="D31" i="5" l="1"/>
  <c r="E30" i="5"/>
  <c r="E25" i="5"/>
  <c r="E31" i="5" s="1"/>
  <c r="F30" i="5"/>
  <c r="F31" i="5"/>
  <c r="G30" i="5"/>
  <c r="G31" i="5"/>
  <c r="D30" i="5"/>
  <c r="L22" i="6"/>
  <c r="L15" i="6" l="1"/>
  <c r="L14" i="6" l="1"/>
  <c r="L8" i="6"/>
  <c r="L24" i="6" s="1"/>
  <c r="L28" i="6" s="1"/>
  <c r="D7" i="6" l="1"/>
  <c r="R17" i="6"/>
  <c r="D5" i="6" s="1"/>
  <c r="D18" i="6"/>
  <c r="D41" i="6"/>
  <c r="D32" i="6" s="1"/>
  <c r="D43" i="6"/>
  <c r="D44" i="6"/>
  <c r="D45" i="6"/>
  <c r="D46" i="6"/>
  <c r="D47" i="6"/>
  <c r="L27" i="6"/>
  <c r="L16" i="6"/>
  <c r="L17" i="6"/>
  <c r="D17" i="6"/>
  <c r="D16" i="6"/>
  <c r="D13" i="6" s="1"/>
  <c r="D22" i="6" l="1"/>
  <c r="D24" i="6"/>
  <c r="P36" i="6"/>
  <c r="D14" i="6"/>
  <c r="Q35" i="6" s="1"/>
  <c r="Q36" i="6"/>
  <c r="D35" i="6"/>
  <c r="L32" i="6" s="1"/>
  <c r="L33" i="6"/>
  <c r="D34" i="6"/>
  <c r="K32" i="6" s="1"/>
  <c r="K33" i="6"/>
  <c r="J32" i="6"/>
  <c r="J33" i="6"/>
  <c r="J34" i="6" s="1"/>
  <c r="P35" i="6"/>
  <c r="I7" i="7" s="1"/>
  <c r="I32" i="6"/>
  <c r="I34" i="6"/>
  <c r="D37" i="6"/>
  <c r="N32" i="6" s="1"/>
  <c r="N33" i="6"/>
  <c r="N34" i="6" s="1"/>
  <c r="D36" i="6"/>
  <c r="M32" i="6" s="1"/>
  <c r="M33" i="6"/>
  <c r="O33" i="6"/>
  <c r="D38" i="6"/>
  <c r="O32" i="6" s="1"/>
  <c r="D15" i="6"/>
  <c r="R35" i="6" s="1"/>
  <c r="R36" i="6"/>
  <c r="G5" i="5"/>
  <c r="F5" i="5"/>
  <c r="E5" i="5"/>
  <c r="D5" i="5"/>
  <c r="H4" i="5"/>
  <c r="H8" i="5" s="1"/>
  <c r="P21" i="2"/>
  <c r="P22" i="2" s="1"/>
  <c r="P23" i="2" s="1"/>
  <c r="P25" i="2" s="1"/>
  <c r="P30" i="2"/>
  <c r="M34" i="6" l="1"/>
  <c r="K34" i="6"/>
  <c r="L34" i="6"/>
  <c r="O34" i="6"/>
  <c r="H24" i="5"/>
  <c r="H25" i="5" s="1"/>
  <c r="H23" i="5"/>
  <c r="D22" i="5"/>
  <c r="D28" i="5" s="1"/>
  <c r="D21" i="5"/>
  <c r="D27" i="5" s="1"/>
  <c r="D26" i="5"/>
  <c r="F26" i="5"/>
  <c r="F32" i="5" s="1"/>
  <c r="F22" i="5"/>
  <c r="F28" i="5" s="1"/>
  <c r="F21" i="5"/>
  <c r="F27" i="5" s="1"/>
  <c r="G21" i="5"/>
  <c r="G27" i="5" s="1"/>
  <c r="G26" i="5"/>
  <c r="G32" i="5" s="1"/>
  <c r="G22" i="5"/>
  <c r="G28" i="5" s="1"/>
  <c r="E22" i="5"/>
  <c r="E28" i="5" s="1"/>
  <c r="E21" i="5"/>
  <c r="E27" i="5" s="1"/>
  <c r="E26" i="5"/>
  <c r="E32" i="5" s="1"/>
  <c r="H33" i="5"/>
  <c r="H35" i="5"/>
  <c r="H34" i="5"/>
  <c r="R37" i="6"/>
  <c r="Q37" i="6"/>
  <c r="P31" i="2"/>
  <c r="P32" i="2" s="1"/>
  <c r="P34" i="2" s="1"/>
  <c r="C20" i="2"/>
  <c r="D32" i="5" l="1"/>
  <c r="G43" i="5" s="1"/>
  <c r="G42" i="5"/>
  <c r="H4" i="7" s="1"/>
  <c r="U14" i="7" s="1"/>
  <c r="B42" i="5"/>
  <c r="C4" i="7" s="1"/>
  <c r="H29" i="5"/>
  <c r="D43" i="5" s="1"/>
  <c r="E5" i="7" s="1"/>
  <c r="E6" i="7" s="1"/>
  <c r="R15" i="7" s="1"/>
  <c r="D42" i="5"/>
  <c r="H37" i="5"/>
  <c r="H38" i="5"/>
  <c r="H36" i="5"/>
  <c r="E42" i="5"/>
  <c r="F4" i="7" s="1"/>
  <c r="H30" i="5"/>
  <c r="E43" i="5" s="1"/>
  <c r="F5" i="7" s="1"/>
  <c r="F6" i="7" s="1"/>
  <c r="S15" i="7" s="1"/>
  <c r="H28" i="5"/>
  <c r="C43" i="5" s="1"/>
  <c r="D5" i="7" s="1"/>
  <c r="D6" i="7" s="1"/>
  <c r="Q15" i="7" s="1"/>
  <c r="C42" i="5"/>
  <c r="B43" i="5"/>
  <c r="C5" i="7" s="1"/>
  <c r="C6" i="7" s="1"/>
  <c r="P15" i="7" s="1"/>
  <c r="E30" i="2"/>
  <c r="D4" i="7" l="1"/>
  <c r="Q14" i="7" s="1"/>
  <c r="E4" i="7"/>
  <c r="R14" i="7" s="1"/>
  <c r="G44" i="5"/>
  <c r="H5" i="7"/>
  <c r="H6" i="7" s="1"/>
  <c r="U15" i="7" s="1"/>
  <c r="B44" i="5"/>
  <c r="C44" i="5"/>
  <c r="E44" i="5"/>
  <c r="D44" i="5"/>
  <c r="S14" i="7"/>
  <c r="G4" i="7"/>
  <c r="H31" i="5"/>
  <c r="F43" i="5" s="1"/>
  <c r="F42" i="5"/>
  <c r="P14" i="7"/>
  <c r="J25" i="2"/>
  <c r="J26" i="2" s="1"/>
  <c r="J27" i="2" s="1"/>
  <c r="J28" i="2" s="1"/>
  <c r="H25" i="2"/>
  <c r="H24" i="2"/>
  <c r="F24" i="2"/>
  <c r="F26" i="2" s="1"/>
  <c r="F27" i="2" s="1"/>
  <c r="F28" i="2" s="1"/>
  <c r="D25" i="2"/>
  <c r="D26" i="2" s="1"/>
  <c r="D27" i="2" s="1"/>
  <c r="D28" i="2" s="1"/>
  <c r="F17" i="2"/>
  <c r="F18" i="2" s="1"/>
  <c r="F19" i="2" s="1"/>
  <c r="H15" i="2"/>
  <c r="H17" i="2" s="1"/>
  <c r="H18" i="2" s="1"/>
  <c r="H19" i="2" s="1"/>
  <c r="D16" i="2"/>
  <c r="D17" i="2" s="1"/>
  <c r="D18" i="2" s="1"/>
  <c r="D19" i="2" s="1"/>
  <c r="F44" i="5" l="1"/>
  <c r="G5" i="7"/>
  <c r="T14" i="7"/>
  <c r="G6" i="7"/>
  <c r="T15" i="7" s="1"/>
  <c r="J29" i="2"/>
  <c r="O14" i="2" s="1"/>
  <c r="H26" i="2"/>
  <c r="H27" i="2" s="1"/>
  <c r="H28" i="2" s="1"/>
  <c r="F20" i="2"/>
  <c r="F21" i="2"/>
  <c r="H20" i="2"/>
  <c r="H21" i="2"/>
  <c r="J30" i="2"/>
  <c r="J7" i="1"/>
  <c r="N7" i="1" s="1"/>
  <c r="N9" i="1" s="1"/>
  <c r="N11" i="1" s="1"/>
  <c r="J6" i="1"/>
  <c r="N6" i="1" s="1"/>
  <c r="N8" i="1" l="1"/>
  <c r="O7" i="1"/>
  <c r="O9" i="1" s="1"/>
  <c r="O11" i="1" s="1"/>
  <c r="N12" i="1"/>
  <c r="O6" i="1"/>
  <c r="P7" i="1"/>
  <c r="P9" i="1" s="1"/>
  <c r="P11" i="1" s="1"/>
  <c r="H29" i="2"/>
  <c r="H30" i="2"/>
  <c r="P6" i="1"/>
  <c r="O13" i="2"/>
  <c r="O15" i="2" s="1"/>
  <c r="I7" i="1"/>
  <c r="I6" i="1"/>
  <c r="P8" i="1" l="1"/>
  <c r="N10" i="1"/>
  <c r="H42" i="5"/>
  <c r="H45" i="5" s="1"/>
  <c r="O8" i="1"/>
  <c r="O16" i="2"/>
  <c r="O10" i="1" l="1"/>
  <c r="I43" i="5" s="1"/>
  <c r="I42" i="5"/>
  <c r="I45" i="5" s="1"/>
  <c r="J7" i="7" s="1"/>
  <c r="H43" i="5"/>
  <c r="P10" i="1"/>
  <c r="J43" i="5" s="1"/>
  <c r="J42" i="5"/>
  <c r="J45" i="5" s="1"/>
  <c r="K7" i="7" s="1"/>
  <c r="J46" i="5" l="1"/>
  <c r="J44" i="5"/>
  <c r="N14" i="1"/>
  <c r="H46" i="5"/>
  <c r="H44" i="5"/>
  <c r="I46" i="5"/>
  <c r="I44" i="5"/>
  <c r="K8" i="7" l="1"/>
  <c r="J47" i="5"/>
  <c r="J8" i="7"/>
  <c r="I47" i="5"/>
  <c r="I8" i="7"/>
  <c r="H47" i="5"/>
  <c r="I48" i="5" l="1"/>
  <c r="I6" i="7"/>
  <c r="I9" i="7"/>
  <c r="J6" i="7"/>
  <c r="J9" i="7"/>
  <c r="K6" i="7"/>
  <c r="K9" i="7"/>
  <c r="J10" i="7" l="1"/>
  <c r="J11" i="7" s="1"/>
  <c r="V14" i="7" l="1"/>
  <c r="V15" i="7"/>
  <c r="V17" i="7" s="1"/>
</calcChain>
</file>

<file path=xl/sharedStrings.xml><?xml version="1.0" encoding="utf-8"?>
<sst xmlns="http://schemas.openxmlformats.org/spreadsheetml/2006/main" count="956" uniqueCount="351">
  <si>
    <t>Vehicle Type</t>
  </si>
  <si>
    <t>Heavy-Duty Diesel Vehicle</t>
  </si>
  <si>
    <t>Quantity</t>
  </si>
  <si>
    <t>Trona, CA to Kramer Junction, CA</t>
  </si>
  <si>
    <t>Lhoist, Las Vegas, NV to Kramer Junction, CA</t>
  </si>
  <si>
    <t>Distance (mi)</t>
  </si>
  <si>
    <t>Roundtrip (mi)</t>
  </si>
  <si>
    <t>Emissions</t>
  </si>
  <si>
    <t>(g/day)</t>
  </si>
  <si>
    <t>Percent Reduction:</t>
  </si>
  <si>
    <t>Emissions Reduction Calculation: In-state vs out-of-state site</t>
  </si>
  <si>
    <t>Assumptions:</t>
  </si>
  <si>
    <t>1. Identical conditions (equipment, loads, traffic, etc.)</t>
  </si>
  <si>
    <r>
      <t>CH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</si>
  <si>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</si>
  <si>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t>Tons/load</t>
  </si>
  <si>
    <r>
      <t>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Factor
(g/ton-mile)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</si>
  <si>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Factor
(g/ton-mile)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</si>
  <si>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</si>
  <si>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t>Ton-mile*</t>
  </si>
  <si>
    <t>Notes:</t>
  </si>
  <si>
    <t>* Ton-mile calculation reflects tonage transported and returned empty.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</si>
  <si>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Factor
(g/ton-mile)</t>
    </r>
  </si>
  <si>
    <t>tpd</t>
  </si>
  <si>
    <t>Fuel Combustion (NG):</t>
  </si>
  <si>
    <t>*Theoretical maximum; realistically less.</t>
  </si>
  <si>
    <t>CaO</t>
  </si>
  <si>
    <t>=</t>
  </si>
  <si>
    <t>+</t>
  </si>
  <si>
    <t>Ca</t>
  </si>
  <si>
    <t>C</t>
  </si>
  <si>
    <t>O3</t>
  </si>
  <si>
    <t>O</t>
  </si>
  <si>
    <t>O2</t>
  </si>
  <si>
    <t>2(O)</t>
  </si>
  <si>
    <t>MMBtu/hr</t>
  </si>
  <si>
    <t>g/mol</t>
  </si>
  <si>
    <t>g/L</t>
  </si>
  <si>
    <r>
      <t>g/ft</t>
    </r>
    <r>
      <rPr>
        <vertAlign val="superscript"/>
        <sz val="11"/>
        <color theme="1"/>
        <rFont val="Calibri"/>
        <family val="2"/>
        <scheme val="minor"/>
      </rPr>
      <t>3</t>
    </r>
  </si>
  <si>
    <t>tpy</t>
  </si>
  <si>
    <t>Calcination Processing:</t>
  </si>
  <si>
    <t>Calcination Process:</t>
  </si>
  <si>
    <t>Total CO2 (daily):</t>
  </si>
  <si>
    <t>Total CO2 (yearly):</t>
  </si>
  <si>
    <r>
      <t>CaCO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</si>
  <si>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CO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</si>
  <si>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CH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</si>
  <si>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2O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</si>
  <si>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2H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O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</si>
  <si>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</si>
  <si>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2(O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</si>
  <si>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r>
      <t>2(H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</si>
  <si>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r>
      <t>O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</si>
  <si>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metric ton/day</t>
  </si>
  <si>
    <t>Natural Gas Emission Factor:</t>
  </si>
  <si>
    <t>Power:</t>
  </si>
  <si>
    <t>metric ton/yr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</si>
  <si>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 (daily):</t>
    </r>
  </si>
  <si>
    <r>
      <t>kg</t>
    </r>
    <r>
      <rPr>
        <sz val="11"/>
        <color theme="1"/>
        <rFont val="Calibri"/>
        <family val="2"/>
        <scheme val="minor"/>
      </rPr>
      <t>/MMBtu</t>
    </r>
  </si>
  <si>
    <r>
      <t>kg</t>
    </r>
    <r>
      <rPr>
        <sz val="11"/>
        <color theme="1"/>
        <rFont val="Calibri"/>
        <family val="2"/>
        <scheme val="minor"/>
      </rPr>
      <t>/day</t>
    </r>
  </si>
  <si>
    <r>
      <t>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Emission (daily):</t>
    </r>
  </si>
  <si>
    <r>
      <t>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Emission (yearly):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</si>
  <si>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 (daily):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</si>
  <si>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Emission (daily):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</si>
  <si>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Emission (yearly):</t>
    </r>
  </si>
  <si>
    <t>Reaction Calculation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</si>
  <si>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Emission*</t>
    </r>
  </si>
  <si>
    <r>
      <t>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Emission*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</si>
  <si>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Emission*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</si>
  <si>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(yearly):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</si>
  <si>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Global Warming Potential: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</si>
  <si>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Global Warming Potential:</t>
    </r>
  </si>
  <si>
    <t>Horsepower [HP]:</t>
  </si>
  <si>
    <t>Kilowatt [kW]:</t>
  </si>
  <si>
    <t>Specific fuel consumption [lb/hphr]:</t>
  </si>
  <si>
    <t>Fuel consumption rate [gal/hr]:</t>
  </si>
  <si>
    <t>Basis:</t>
  </si>
  <si>
    <t>Product output 65700 tpy</t>
  </si>
  <si>
    <t>Calciner Fuel Types: NG</t>
  </si>
  <si>
    <t>Prime Mover Mobile/Stationary Equipment: Diesel</t>
  </si>
  <si>
    <t>2% waste, production continuous through year</t>
  </si>
  <si>
    <t>SR[CaO] = 0.7848; SR[MgO] = 1.0918</t>
  </si>
  <si>
    <t>External Combustion
Natural Gas</t>
  </si>
  <si>
    <t>1028 Btu/ft3 HHV for NG</t>
  </si>
  <si>
    <t>Percent Waste:</t>
  </si>
  <si>
    <t>[mmbtu/hr]</t>
  </si>
  <si>
    <t>HHV of NG:</t>
  </si>
  <si>
    <t>[mmbtu/scf]</t>
  </si>
  <si>
    <t>[scf/year]</t>
  </si>
  <si>
    <r>
      <t xml:space="preserve">Volume of NG, </t>
    </r>
    <r>
      <rPr>
        <i/>
        <sz val="11"/>
        <color theme="1"/>
        <rFont val="Calibri"/>
        <family val="2"/>
        <scheme val="minor"/>
      </rPr>
      <t>Fuel</t>
    </r>
    <r>
      <rPr>
        <sz val="11"/>
        <color theme="1"/>
        <rFont val="Calibri"/>
        <family val="2"/>
        <scheme val="minor"/>
      </rPr>
      <t>:</t>
    </r>
  </si>
  <si>
    <t>[kg CO2/mmBtu]</t>
  </si>
  <si>
    <r>
      <t xml:space="preserve">NG Emission Factor, </t>
    </r>
    <r>
      <rPr>
        <i/>
        <sz val="11"/>
        <color theme="1"/>
        <rFont val="Calibri"/>
        <family val="2"/>
        <scheme val="minor"/>
      </rPr>
      <t>EF</t>
    </r>
    <r>
      <rPr>
        <i/>
        <vertAlign val="subscript"/>
        <sz val="11"/>
        <color theme="1"/>
        <rFont val="Calibri"/>
        <family val="2"/>
        <scheme val="minor"/>
      </rPr>
      <t>CO2</t>
    </r>
    <r>
      <rPr>
        <sz val="11"/>
        <color theme="1"/>
        <rFont val="Calibri"/>
        <family val="2"/>
        <scheme val="minor"/>
      </rPr>
      <t>:</t>
    </r>
  </si>
  <si>
    <t>[kg CH4/mmBtu]</t>
  </si>
  <si>
    <r>
      <t xml:space="preserve">NG Emission Factor, </t>
    </r>
    <r>
      <rPr>
        <i/>
        <sz val="11"/>
        <color theme="1"/>
        <rFont val="Calibri"/>
        <family val="2"/>
        <scheme val="minor"/>
      </rPr>
      <t>EF</t>
    </r>
    <r>
      <rPr>
        <i/>
        <vertAlign val="subscript"/>
        <sz val="11"/>
        <color theme="1"/>
        <rFont val="Calibri"/>
        <family val="2"/>
        <scheme val="minor"/>
      </rPr>
      <t>CH4</t>
    </r>
    <r>
      <rPr>
        <sz val="11"/>
        <color theme="1"/>
        <rFont val="Calibri"/>
        <family val="2"/>
        <scheme val="minor"/>
      </rPr>
      <t>:</t>
    </r>
  </si>
  <si>
    <t>[kg N2O/mmBtu]</t>
  </si>
  <si>
    <r>
      <t xml:space="preserve">NG Emission Factor, </t>
    </r>
    <r>
      <rPr>
        <i/>
        <sz val="11"/>
        <color theme="1"/>
        <rFont val="Calibri"/>
        <family val="2"/>
        <scheme val="minor"/>
      </rPr>
      <t>EF</t>
    </r>
    <r>
      <rPr>
        <i/>
        <vertAlign val="subscript"/>
        <sz val="11"/>
        <color theme="1"/>
        <rFont val="Calibri"/>
        <family val="2"/>
        <scheme val="minor"/>
      </rPr>
      <t>N2O</t>
    </r>
    <r>
      <rPr>
        <sz val="11"/>
        <color theme="1"/>
        <rFont val="Calibri"/>
        <family val="2"/>
        <scheme val="minor"/>
      </rPr>
      <t>: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</si>
  <si>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Emission:</t>
    </r>
  </si>
  <si>
    <t>[metric tons/year]</t>
  </si>
  <si>
    <r>
      <t>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Emission: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</si>
  <si>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Emission:</t>
    </r>
  </si>
  <si>
    <t>Units</t>
  </si>
  <si>
    <t>[metric ton/year]</t>
  </si>
  <si>
    <t>[short ton/year]</t>
  </si>
  <si>
    <t>[metric tons CO2/metric tons CaO]</t>
  </si>
  <si>
    <t>[metric tons CO2/metric tons MgO]</t>
  </si>
  <si>
    <t>Lime Manufacturing 
Calcination Process</t>
  </si>
  <si>
    <r>
      <t xml:space="preserve">Total Calcinated Lime Product, </t>
    </r>
    <r>
      <rPr>
        <b/>
        <i/>
        <sz val="11"/>
        <color theme="1"/>
        <rFont val="Calibri"/>
        <family val="2"/>
        <scheme val="minor"/>
      </rPr>
      <t>M</t>
    </r>
    <r>
      <rPr>
        <b/>
        <i/>
        <vertAlign val="subscript"/>
        <sz val="11"/>
        <color theme="1"/>
        <rFont val="Calibri"/>
        <family val="2"/>
        <scheme val="minor"/>
      </rPr>
      <t>lime</t>
    </r>
    <r>
      <rPr>
        <sz val="11"/>
        <color theme="1"/>
        <rFont val="Calibri"/>
        <family val="2"/>
        <scheme val="minor"/>
      </rPr>
      <t>:</t>
    </r>
  </si>
  <si>
    <r>
      <t xml:space="preserve">Calcinated Lime Waste, </t>
    </r>
    <r>
      <rPr>
        <b/>
        <i/>
        <sz val="11"/>
        <color theme="1"/>
        <rFont val="Calibri"/>
        <family val="2"/>
        <scheme val="minor"/>
      </rPr>
      <t>M</t>
    </r>
    <r>
      <rPr>
        <b/>
        <i/>
        <vertAlign val="subscript"/>
        <sz val="11"/>
        <color theme="1"/>
        <rFont val="Calibri"/>
        <family val="2"/>
        <scheme val="minor"/>
      </rPr>
      <t>waste</t>
    </r>
    <r>
      <rPr>
        <sz val="11"/>
        <color theme="1"/>
        <rFont val="Calibri"/>
        <family val="2"/>
        <scheme val="minor"/>
      </rPr>
      <t>:</t>
    </r>
  </si>
  <si>
    <r>
      <t xml:space="preserve">Calcinated Lime LKD, </t>
    </r>
    <r>
      <rPr>
        <b/>
        <i/>
        <sz val="11"/>
        <color theme="1"/>
        <rFont val="Calibri"/>
        <family val="2"/>
        <scheme val="minor"/>
      </rPr>
      <t>M</t>
    </r>
    <r>
      <rPr>
        <b/>
        <i/>
        <vertAlign val="subscript"/>
        <sz val="11"/>
        <color theme="1"/>
        <rFont val="Calibri"/>
        <family val="2"/>
        <scheme val="minor"/>
      </rPr>
      <t>LKD</t>
    </r>
    <r>
      <rPr>
        <sz val="11"/>
        <color theme="1"/>
        <rFont val="Calibri"/>
        <family val="2"/>
        <scheme val="minor"/>
      </rPr>
      <t>:</t>
    </r>
  </si>
  <si>
    <r>
      <t>Stoichiometric ratio of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and CaO, </t>
    </r>
    <r>
      <rPr>
        <b/>
        <i/>
        <sz val="11"/>
        <color theme="1"/>
        <rFont val="Calibri"/>
        <family val="2"/>
        <scheme val="minor"/>
      </rPr>
      <t>SR</t>
    </r>
    <r>
      <rPr>
        <b/>
        <i/>
        <vertAlign val="subscript"/>
        <sz val="11"/>
        <color theme="1"/>
        <rFont val="Calibri"/>
        <family val="2"/>
        <scheme val="minor"/>
      </rPr>
      <t>CaO</t>
    </r>
    <r>
      <rPr>
        <sz val="11"/>
        <color theme="1"/>
        <rFont val="Calibri"/>
        <family val="2"/>
        <scheme val="minor"/>
      </rPr>
      <t>:</t>
    </r>
  </si>
  <si>
    <r>
      <t>Stoichiometric ratio of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and MgO, </t>
    </r>
    <r>
      <rPr>
        <b/>
        <i/>
        <sz val="11"/>
        <color theme="1"/>
        <rFont val="Calibri"/>
        <family val="2"/>
        <scheme val="minor"/>
      </rPr>
      <t>SR</t>
    </r>
    <r>
      <rPr>
        <b/>
        <i/>
        <vertAlign val="subscript"/>
        <sz val="11"/>
        <color theme="1"/>
        <rFont val="Calibri"/>
        <family val="2"/>
        <scheme val="minor"/>
      </rPr>
      <t>MgO</t>
    </r>
    <r>
      <rPr>
        <sz val="11"/>
        <color theme="1"/>
        <rFont val="Calibri"/>
        <family val="2"/>
        <scheme val="minor"/>
      </rPr>
      <t>:</t>
    </r>
  </si>
  <si>
    <r>
      <t xml:space="preserve">Emission factor for lime, </t>
    </r>
    <r>
      <rPr>
        <b/>
        <i/>
        <sz val="11"/>
        <color theme="1"/>
        <rFont val="Calibri"/>
        <family val="2"/>
        <scheme val="minor"/>
      </rPr>
      <t>EF</t>
    </r>
    <r>
      <rPr>
        <b/>
        <i/>
        <vertAlign val="subscript"/>
        <sz val="11"/>
        <color theme="1"/>
        <rFont val="Calibri"/>
        <family val="2"/>
        <scheme val="minor"/>
      </rPr>
      <t>LKD</t>
    </r>
    <r>
      <rPr>
        <sz val="11"/>
        <color theme="1"/>
        <rFont val="Calibri"/>
        <family val="2"/>
        <scheme val="minor"/>
      </rPr>
      <t>:</t>
    </r>
  </si>
  <si>
    <t>[metric tons CO2/metric ton lime/year]</t>
  </si>
  <si>
    <r>
      <t xml:space="preserve">% CaO by weight of product, </t>
    </r>
    <r>
      <rPr>
        <b/>
        <i/>
        <sz val="11"/>
        <color theme="1"/>
        <rFont val="Calibri"/>
        <family val="2"/>
        <scheme val="minor"/>
      </rPr>
      <t>CaO</t>
    </r>
    <r>
      <rPr>
        <sz val="11"/>
        <color theme="1"/>
        <rFont val="Calibri"/>
        <family val="2"/>
        <scheme val="minor"/>
      </rPr>
      <t>:</t>
    </r>
  </si>
  <si>
    <r>
      <t xml:space="preserve">% MgO by weight of product, </t>
    </r>
    <r>
      <rPr>
        <b/>
        <i/>
        <sz val="11"/>
        <color theme="1"/>
        <rFont val="Calibri"/>
        <family val="2"/>
        <scheme val="minor"/>
      </rPr>
      <t>MgO</t>
    </r>
    <r>
      <rPr>
        <sz val="11"/>
        <color theme="1"/>
        <rFont val="Calibri"/>
        <family val="2"/>
        <scheme val="minor"/>
      </rPr>
      <t>:</t>
    </r>
  </si>
  <si>
    <r>
      <t xml:space="preserve">Amount of MgO in Product, </t>
    </r>
    <r>
      <rPr>
        <b/>
        <i/>
        <sz val="11"/>
        <color theme="1"/>
        <rFont val="Calibri"/>
        <family val="2"/>
        <scheme val="minor"/>
      </rPr>
      <t>M</t>
    </r>
    <r>
      <rPr>
        <b/>
        <i/>
        <vertAlign val="subscript"/>
        <sz val="11"/>
        <color theme="1"/>
        <rFont val="Calibri"/>
        <family val="2"/>
        <scheme val="minor"/>
      </rPr>
      <t>MgO,prod.</t>
    </r>
    <r>
      <rPr>
        <sz val="11"/>
        <color theme="1"/>
        <rFont val="Calibri"/>
        <family val="2"/>
        <scheme val="minor"/>
      </rPr>
      <t>:</t>
    </r>
  </si>
  <si>
    <r>
      <t xml:space="preserve">Amount of CaO in Product, </t>
    </r>
    <r>
      <rPr>
        <b/>
        <i/>
        <sz val="11"/>
        <color theme="1"/>
        <rFont val="Calibri"/>
        <family val="2"/>
        <scheme val="minor"/>
      </rPr>
      <t>M</t>
    </r>
    <r>
      <rPr>
        <b/>
        <i/>
        <vertAlign val="subscript"/>
        <sz val="11"/>
        <color theme="1"/>
        <rFont val="Calibri"/>
        <family val="2"/>
        <scheme val="minor"/>
      </rPr>
      <t>CaO,prod.</t>
    </r>
    <r>
      <rPr>
        <sz val="11"/>
        <color theme="1"/>
        <rFont val="Calibri"/>
        <family val="2"/>
        <scheme val="minor"/>
      </rPr>
      <t>:</t>
    </r>
  </si>
  <si>
    <r>
      <t xml:space="preserve">Amount of CaO in Waste, </t>
    </r>
    <r>
      <rPr>
        <b/>
        <i/>
        <sz val="11"/>
        <color theme="1"/>
        <rFont val="Calibri"/>
        <family val="2"/>
        <scheme val="minor"/>
      </rPr>
      <t>M</t>
    </r>
    <r>
      <rPr>
        <b/>
        <i/>
        <vertAlign val="subscript"/>
        <sz val="11"/>
        <color theme="1"/>
        <rFont val="Calibri"/>
        <family val="2"/>
        <scheme val="minor"/>
      </rPr>
      <t>CaO,waste</t>
    </r>
    <r>
      <rPr>
        <b/>
        <i/>
        <sz val="11"/>
        <color theme="1"/>
        <rFont val="Calibri"/>
        <family val="2"/>
        <scheme val="minor"/>
      </rPr>
      <t>:</t>
    </r>
  </si>
  <si>
    <r>
      <t xml:space="preserve">Amount of MgO in Waste, </t>
    </r>
    <r>
      <rPr>
        <b/>
        <i/>
        <sz val="11"/>
        <color theme="1"/>
        <rFont val="Calibri"/>
        <family val="2"/>
        <scheme val="minor"/>
      </rPr>
      <t>M</t>
    </r>
    <r>
      <rPr>
        <b/>
        <i/>
        <vertAlign val="subscript"/>
        <sz val="11"/>
        <color theme="1"/>
        <rFont val="Calibri"/>
        <family val="2"/>
        <scheme val="minor"/>
      </rPr>
      <t>MgO,waste</t>
    </r>
    <r>
      <rPr>
        <sz val="11"/>
        <color theme="1"/>
        <rFont val="Calibri"/>
        <family val="2"/>
        <scheme val="minor"/>
      </rPr>
      <t>:</t>
    </r>
  </si>
  <si>
    <r>
      <t xml:space="preserve">Emission factor for lime, </t>
    </r>
    <r>
      <rPr>
        <b/>
        <i/>
        <sz val="11"/>
        <rFont val="Calibri"/>
        <family val="2"/>
        <scheme val="minor"/>
      </rPr>
      <t>EF</t>
    </r>
    <r>
      <rPr>
        <b/>
        <i/>
        <vertAlign val="subscript"/>
        <sz val="11"/>
        <rFont val="Calibri"/>
        <family val="2"/>
        <scheme val="minor"/>
      </rPr>
      <t>lime</t>
    </r>
    <r>
      <rPr>
        <sz val="11"/>
        <rFont val="Calibri"/>
        <family val="2"/>
        <scheme val="minor"/>
      </rPr>
      <t>:</t>
    </r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</si>
  <si>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Emission from Waste, </t>
    </r>
    <r>
      <rPr>
        <b/>
        <i/>
        <sz val="11"/>
        <rFont val="Calibri"/>
        <family val="2"/>
        <scheme val="minor"/>
      </rPr>
      <t>E</t>
    </r>
    <r>
      <rPr>
        <b/>
        <i/>
        <vertAlign val="subscript"/>
        <sz val="11"/>
        <rFont val="Calibri"/>
        <family val="2"/>
        <scheme val="minor"/>
      </rPr>
      <t>waste</t>
    </r>
    <r>
      <rPr>
        <sz val="11"/>
        <rFont val="Calibri"/>
        <family val="2"/>
        <scheme val="minor"/>
      </rPr>
      <t>:</t>
    </r>
  </si>
  <si>
    <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Emission, </t>
    </r>
    <r>
      <rPr>
        <b/>
        <i/>
        <sz val="11"/>
        <rFont val="Calibri"/>
        <family val="2"/>
        <scheme val="minor"/>
      </rPr>
      <t>E</t>
    </r>
    <r>
      <rPr>
        <b/>
        <i/>
        <vertAlign val="subscript"/>
        <sz val="11"/>
        <rFont val="Calibri"/>
        <family val="2"/>
        <scheme val="minor"/>
      </rPr>
      <t>CO2</t>
    </r>
    <r>
      <rPr>
        <b/>
        <sz val="11"/>
        <rFont val="Calibri"/>
        <family val="2"/>
        <scheme val="minor"/>
      </rPr>
      <t>:</t>
    </r>
  </si>
  <si>
    <t>GHG Emissions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</si>
  <si>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Equivelent engines used in place of unknown until make/model determined; 24/7 operation, 365 days a year.</t>
    </r>
  </si>
  <si>
    <r>
      <t>Internal Combustion Diesel Engines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</si>
  <si>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300 HP Diesel Wheel Loader TCD7.8L6</t>
  </si>
  <si>
    <t>50 HP Diesel Fork Lift TCD2.9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</si>
  <si>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Assuming diesel with a density of 6.943 lb/gal at STP.</t>
    </r>
  </si>
  <si>
    <r>
      <t>Density of diesel fuel [lb/gal]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</si>
  <si>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Condensable + Non-condensable.</t>
    </r>
  </si>
  <si>
    <t>Emission Rates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</si>
  <si>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[lb/hr]</t>
    </r>
    <r>
      <rPr>
        <sz val="11"/>
        <color theme="1"/>
        <rFont val="Calibri"/>
        <family val="2"/>
        <scheme val="minor"/>
      </rPr>
      <t>:</t>
    </r>
  </si>
  <si>
    <r>
      <t>CO Emission [lb/hr]</t>
    </r>
    <r>
      <rPr>
        <sz val="11"/>
        <color theme="1"/>
        <rFont val="Calibri"/>
        <family val="2"/>
        <scheme val="minor"/>
      </rPr>
      <t>:</t>
    </r>
  </si>
  <si>
    <r>
      <t>SO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[lb/hr]</t>
    </r>
    <r>
      <rPr>
        <sz val="11"/>
        <color theme="1"/>
        <rFont val="Calibri"/>
        <family val="2"/>
        <scheme val="minor"/>
      </rPr>
      <t>:</t>
    </r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</si>
  <si>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Emission [lb/hr]</t>
    </r>
    <r>
      <rPr>
        <sz val="11"/>
        <color theme="1"/>
        <rFont val="Calibri"/>
        <family val="2"/>
        <scheme val="minor"/>
      </rPr>
      <t>: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</si>
  <si>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Emission [lb/hr]</t>
    </r>
    <r>
      <rPr>
        <sz val="11"/>
        <color theme="1"/>
        <rFont val="Calibri"/>
        <family val="2"/>
        <scheme val="minor"/>
      </rPr>
      <t>:</t>
    </r>
  </si>
  <si>
    <t>Criteria Air Pollutant Emissions</t>
  </si>
  <si>
    <t>Criteria Air Pollutant
Emissions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</si>
  <si>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[lb/yr]:</t>
    </r>
  </si>
  <si>
    <t>CO Emission [lb/yr]:</t>
  </si>
  <si>
    <r>
      <t>SO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[lb/yr]:</t>
    </r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</si>
  <si>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Emission [lb/yr]: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</si>
  <si>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Emission [lb/yr]:</t>
    </r>
  </si>
  <si>
    <t>CO</t>
  </si>
  <si>
    <t>TOG</t>
  </si>
  <si>
    <t>[lb/hr]</t>
  </si>
  <si>
    <t>[lb/yr]</t>
  </si>
  <si>
    <t>[MT/hr]</t>
  </si>
  <si>
    <t>[MT/yr]</t>
  </si>
  <si>
    <t>--</t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</si>
  <si>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</si>
  <si>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</si>
  <si>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</si>
  <si>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</si>
  <si>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t>[metric tons/hour]</t>
  </si>
  <si>
    <t>[lbs/mmscf]</t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</si>
  <si>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Emission:</t>
    </r>
  </si>
  <si>
    <r>
      <t>SO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Emission:</t>
    </r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</si>
  <si>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Emission: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</si>
  <si>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Emission:</t>
    </r>
  </si>
  <si>
    <t>TOG Emission:</t>
  </si>
  <si>
    <t>ROG/VOC Emission:</t>
  </si>
  <si>
    <t>[lbs/hr]</t>
  </si>
  <si>
    <t>[lbs/yr]</t>
  </si>
  <si>
    <t>Hourly Emission Rates</t>
  </si>
  <si>
    <t>Yearly Emission Rates</t>
  </si>
  <si>
    <t>Total Lime Kiln Related Emissions</t>
  </si>
  <si>
    <t>ROG/VOC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</si>
  <si>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</si>
  <si>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Daily [lbs]</t>
  </si>
  <si>
    <t>Annual [tons]</t>
  </si>
  <si>
    <t>Threshold</t>
  </si>
  <si>
    <t>Emited</t>
  </si>
  <si>
    <t>Total GHG: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</si>
  <si>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[MT/yr]</t>
    </r>
  </si>
  <si>
    <r>
      <t>GHG [CO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e]</t>
    </r>
  </si>
  <si>
    <r>
      <t xml:space="preserve">*Cells in </t>
    </r>
    <r>
      <rPr>
        <b/>
        <sz val="11"/>
        <color rgb="FFC0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exceed significance threshold.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</si>
  <si>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Tier 4 Final.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</si>
  <si>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District HHV and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 Factor used for distillate fuel oil no. 2.</t>
    </r>
  </si>
  <si>
    <r>
      <t>Diesel HHV [mmBtu/gal]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: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</si>
  <si>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 [lb/hr]: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</si>
  <si>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 [lb/hr]: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</si>
  <si>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 [lb/yr]: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</si>
  <si>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 [lb/hr]: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</si>
  <si>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 [lb/yr]: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</si>
  <si>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 [lb/yr]:</t>
    </r>
  </si>
  <si>
    <t>Greenhouse Gas
Emissions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</si>
  <si>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[MT/yr]</t>
    </r>
    <r>
      <rPr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</si>
  <si>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GWP for 100-yr.</t>
    </r>
  </si>
  <si>
    <t>Operational Off-Site Diesel Emissions</t>
  </si>
  <si>
    <t>Internal Combustion Diesel Engines</t>
  </si>
  <si>
    <t>425HP Diesel Kenworth T-880 Paccar
(26 Trucks)</t>
  </si>
  <si>
    <t>CO_RUNEX [g/mile]:</t>
  </si>
  <si>
    <t>NOx_RUNEX [g/mile]:</t>
  </si>
  <si>
    <t>CO2_RUNEX [g/mile]:</t>
  </si>
  <si>
    <t>PM10_RUNEX [g/mile]:</t>
  </si>
  <si>
    <t>PM2_5_RUNEX [g/mile]:</t>
  </si>
  <si>
    <t>SOx_RUNEX [g/mile]:</t>
  </si>
  <si>
    <t>PM10_PMTW [g/trip]:</t>
  </si>
  <si>
    <t>PM10_PMBW [g/trip]:</t>
  </si>
  <si>
    <t>PM2_5_PMTW [g/trip]:</t>
  </si>
  <si>
    <t>PM2_5_PMBW [g/trip]:</t>
  </si>
  <si>
    <t>Round-trip distance [miles]:</t>
  </si>
  <si>
    <t>Operation [Days]:</t>
  </si>
  <si>
    <t>CO Emission [lb/hr]: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</si>
  <si>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[lb/hr]:</t>
    </r>
  </si>
  <si>
    <t>PM10 Emission [lb/hr]:</t>
  </si>
  <si>
    <t>Operational Off-Site Diesel Emissions Summary</t>
  </si>
  <si>
    <t>PM2.5 Emission [lb/hr]:</t>
  </si>
  <si>
    <r>
      <t>SO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[lb/hr]:</t>
    </r>
  </si>
  <si>
    <t>[lb/day]</t>
  </si>
  <si>
    <t>Quantity of Trucks:</t>
  </si>
  <si>
    <t>Trips per Day:</t>
  </si>
  <si>
    <t>For All Vehicles</t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</si>
  <si>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EMFAC2014.</t>
    </r>
  </si>
  <si>
    <t>CO_IDLEX [g/vehicle-day]:</t>
  </si>
  <si>
    <t>NOx_IDLEX [g/vehicle-day]:</t>
  </si>
  <si>
    <t>CO2_IDLEX [g/vehicle-day]:</t>
  </si>
  <si>
    <t>PM10_IDLEX [g/vehicle-day]:</t>
  </si>
  <si>
    <t>PM2_5_IDLEX [g/vehicle-day]:</t>
  </si>
  <si>
    <t>SOx_IDLEX [g/vehicle-day]:</t>
  </si>
  <si>
    <t>Process Key</t>
  </si>
  <si>
    <r>
      <t xml:space="preserve">RUNEX: </t>
    </r>
    <r>
      <rPr>
        <i/>
        <sz val="11"/>
        <color theme="1"/>
        <rFont val="Calibri"/>
        <family val="2"/>
        <scheme val="minor"/>
      </rPr>
      <t>Running Exhaust</t>
    </r>
  </si>
  <si>
    <r>
      <t xml:space="preserve">IDLEX: </t>
    </r>
    <r>
      <rPr>
        <i/>
        <sz val="11"/>
        <color theme="1"/>
        <rFont val="Calibri"/>
        <family val="2"/>
        <scheme val="minor"/>
      </rPr>
      <t>Idle Exhaust</t>
    </r>
  </si>
  <si>
    <r>
      <t xml:space="preserve">PMBW: </t>
    </r>
    <r>
      <rPr>
        <i/>
        <sz val="11"/>
        <color theme="1"/>
        <rFont val="Calibri"/>
        <family val="2"/>
        <scheme val="minor"/>
      </rPr>
      <t>Brake Wear</t>
    </r>
  </si>
  <si>
    <r>
      <t xml:space="preserve">PMTW: </t>
    </r>
    <r>
      <rPr>
        <i/>
        <sz val="11"/>
        <color theme="1"/>
        <rFont val="Calibri"/>
        <family val="2"/>
        <scheme val="minor"/>
      </rPr>
      <t>Tire Wear</t>
    </r>
  </si>
  <si>
    <t>PM10 Emission [lb/yr]:</t>
  </si>
  <si>
    <t>PM2.5 Emission [lb/yr]:</t>
  </si>
  <si>
    <r>
      <t>Process Name [Units]: [Emission Rate]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</si>
  <si>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100-hour per year permitted limitation for emergency generators.</t>
    </r>
  </si>
  <si>
    <r>
      <t>500kW Diesel Emergency Generator 
(Tier IV) 
C18 ATAAC</t>
    </r>
    <r>
      <rPr>
        <vertAlign val="superscript"/>
        <sz val="11"/>
        <rFont val="Calibri"/>
        <family val="2"/>
        <scheme val="minor"/>
      </rPr>
      <t>9</t>
    </r>
  </si>
  <si>
    <t>Construction Emissions from CalEEMod</t>
  </si>
  <si>
    <t>Run A</t>
  </si>
  <si>
    <t>ROG</t>
  </si>
  <si>
    <t>Year</t>
  </si>
  <si>
    <t>Maximum</t>
  </si>
  <si>
    <t>tons/yr</t>
  </si>
  <si>
    <t>MT/yr</t>
  </si>
  <si>
    <t>Mitigated Construction (Tier 4 Final)</t>
  </si>
  <si>
    <t>Unmitigated Construction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</si>
  <si>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</si>
  <si>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Fugitive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</si>
  <si>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Exhaust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</si>
  <si>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Total</t>
    </r>
  </si>
  <si>
    <r>
      <t>Fugitive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</si>
  <si>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r>
      <t>Exhaust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</si>
  <si>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r>
      <t>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 Total</t>
    </r>
  </si>
  <si>
    <r>
      <t>Bio-CO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</si>
  <si>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NBio-CO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</si>
  <si>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Total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</si>
  <si>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</si>
  <si>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t>Percent Reduction</t>
  </si>
  <si>
    <t>Run B</t>
  </si>
  <si>
    <t>Combined Runs</t>
  </si>
  <si>
    <t>Total Operational Emission Rates</t>
  </si>
  <si>
    <t>Total Operational Diesel Emission Rates (including on-road hauling)</t>
  </si>
  <si>
    <t>Other Operational Emissions from CalEEMod</t>
  </si>
  <si>
    <t>Category</t>
  </si>
  <si>
    <t>Energy</t>
  </si>
  <si>
    <t>Mobile</t>
  </si>
  <si>
    <t>Waste</t>
  </si>
  <si>
    <t>Total</t>
  </si>
  <si>
    <t>Area</t>
  </si>
  <si>
    <t>[T/yr]</t>
  </si>
  <si>
    <t>Construction Emission Rates</t>
  </si>
  <si>
    <t>Total Estimated Construction Emissions (2019-2020)</t>
  </si>
  <si>
    <t>[tons]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</si>
  <si>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[MT]</t>
    </r>
  </si>
  <si>
    <t>[MT]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</si>
  <si>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[tons/yr]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</si>
  <si>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[tons]</t>
    </r>
  </si>
  <si>
    <t>[tons/yr]</t>
  </si>
  <si>
    <t>Emissions Summary</t>
  </si>
  <si>
    <t>Operational Lime Kiln Related Emissions</t>
  </si>
  <si>
    <t>Operational Diesel Emissions</t>
  </si>
  <si>
    <t>Trip GHG Generation Comparison</t>
  </si>
  <si>
    <t>(MT/yr)</t>
  </si>
  <si>
    <t>(kg/hr)</t>
  </si>
  <si>
    <t>Total Reduction (MT CO2e):</t>
  </si>
  <si>
    <t>Significant Emission Rate Thresholds During Construction (2019 - 2020)</t>
  </si>
  <si>
    <t>Significant Emission Rate Thresholds During Operation (Starting 2020)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</si>
  <si>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Engines have yet to be determined; equivelencies used.</t>
    </r>
  </si>
  <si>
    <r>
      <t>Operational On-Site Diesel Emissions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</si>
  <si>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SO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[ppm]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</si>
  <si>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[kg/mmBtu]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: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</si>
  <si>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[kg/mmBtu]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: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</si>
  <si>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[kg/mmBtu]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: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</si>
  <si>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[g/kW-hr]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</si>
  <si>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r>
      <t>CO [g/kW-hr]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</si>
  <si>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r>
      <t>PM [g/kW-hr]</t>
    </r>
    <r>
      <rPr>
        <vertAlign val="superscript"/>
        <sz val="11"/>
        <color theme="1"/>
        <rFont val="Calibri"/>
        <family val="2"/>
        <scheme val="minor"/>
      </rPr>
      <t>3,4</t>
    </r>
    <r>
      <rPr>
        <sz val="11"/>
        <color theme="1"/>
        <rFont val="Calibri"/>
        <family val="2"/>
        <scheme val="minor"/>
      </rPr>
      <t>:</t>
    </r>
  </si>
  <si>
    <t>Exhaust</t>
  </si>
  <si>
    <t>VOC</t>
  </si>
  <si>
    <t>ROG_RUNEX</t>
  </si>
  <si>
    <t>ROG_IDLEX</t>
  </si>
  <si>
    <t>TOG_RUNEX</t>
  </si>
  <si>
    <t>TOG_IDLEX</t>
  </si>
  <si>
    <t>ROG_RUNEX [g/mile]:</t>
  </si>
  <si>
    <t>ROG_IDLEX [g/vehicle-day]:</t>
  </si>
  <si>
    <t>TOG_RUNEX [g/mile]:</t>
  </si>
  <si>
    <t>TOG_IDLEX [g/vehicle-day]:</t>
  </si>
  <si>
    <t>NMHC [g/kw-hr]:</t>
  </si>
  <si>
    <r>
      <t>VOC [g/kw-hr]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</t>
    </r>
  </si>
  <si>
    <t>VOC [lb/yr]:</t>
  </si>
  <si>
    <t>VOC [lb/hr]:</t>
  </si>
  <si>
    <t>VOC/ROG</t>
  </si>
  <si>
    <t>VOC/ROG Emission [lb/yr]:</t>
  </si>
  <si>
    <t>VOC/ROG Emission [lb/hr]:</t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</si>
  <si>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NMHC to VOC converted using EPA recommended values from </t>
    </r>
    <r>
      <rPr>
        <i/>
        <sz val="11"/>
        <color theme="1"/>
        <rFont val="Calibri"/>
        <family val="2"/>
        <scheme val="minor"/>
      </rPr>
      <t>'Conversion Factors for Hydrocarbon Emission Components NR-002c, December 2005'</t>
    </r>
    <r>
      <rPr>
        <sz val="11"/>
        <color theme="1"/>
        <rFont val="Calibri"/>
        <family val="2"/>
        <scheme val="minor"/>
      </rPr>
      <t>.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</si>
  <si>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Emission*:</t>
    </r>
  </si>
  <si>
    <t>CO Emission*:</t>
  </si>
  <si>
    <t>- Monthly production remains constant all year; 24 hours/day, 365 days/year.</t>
  </si>
  <si>
    <t>- No emissions mitigation</t>
  </si>
  <si>
    <t>- Waste is recycled back into process; no LKD sold.</t>
  </si>
  <si>
    <r>
      <t>*NO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and CO manufacturer's reported emission rates.</t>
    </r>
  </si>
  <si>
    <t>Daily feed tons</t>
  </si>
  <si>
    <t>Limestone Delivery Trucks</t>
  </si>
  <si>
    <t>MDAQMD</t>
  </si>
  <si>
    <t>Great Basin</t>
  </si>
  <si>
    <t>CH4 Emission [lb/yr]:</t>
  </si>
  <si>
    <t>N2O Emission [lb/yr]:</t>
  </si>
  <si>
    <t>Fuel Conversion</t>
  </si>
  <si>
    <t>KJ/Kg</t>
  </si>
  <si>
    <t>MMBTU/MT</t>
  </si>
  <si>
    <t>MMBTU/hr</t>
  </si>
  <si>
    <t>Material Handling</t>
  </si>
  <si>
    <t>Limestone Delivery</t>
  </si>
  <si>
    <t>Limestone Burning</t>
  </si>
  <si>
    <t>Lime Crushing</t>
  </si>
  <si>
    <t>Lime Lump Storage</t>
  </si>
  <si>
    <t>Bag Filling</t>
  </si>
  <si>
    <t>*Baghouse assumptions:</t>
  </si>
  <si>
    <t>cfm</t>
  </si>
  <si>
    <t>Qty</t>
  </si>
  <si>
    <t>Exhaust Grain Loading</t>
  </si>
  <si>
    <t>gr/scf</t>
  </si>
  <si>
    <t>From Baghouse Spec Sheet</t>
  </si>
  <si>
    <t>56 MMBtu/hr Vertical Kiln</t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</si>
  <si>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 Factor (ARB):</t>
    </r>
  </si>
  <si>
    <r>
      <t>SO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Factor (ARB):</t>
    </r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</si>
  <si>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Emission Factor(ARB):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</si>
  <si>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Emission Factor(ARB):</t>
    </r>
  </si>
  <si>
    <t>TOG Emission Factor(ARB):</t>
  </si>
  <si>
    <t>ROG/VOC Emission Factor(ARB):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</si>
  <si>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 Factor(Maerz):</t>
    </r>
  </si>
  <si>
    <t>CO Emission Factor(Maerz):</t>
  </si>
  <si>
    <t>Material Handling (Baghouses and Storage Piles)*</t>
  </si>
  <si>
    <t>Storage Pile Handling</t>
  </si>
  <si>
    <t>Storage Pile Wind Erosion</t>
  </si>
  <si>
    <t>Storage Pile Emissions Calculated with MDAQMD Mine_Operations_v3 Spreadsheet</t>
  </si>
  <si>
    <t>Assumptions: Pile loaded via truck, unloaded into enclosed conveying system via under-pile feeders</t>
  </si>
  <si>
    <t>Overage, mitigation proposed is the surrender of GHG emission offset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</si>
</sst>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"/>
    <numFmt numFmtId="166" formatCode="#,##0.0"/>
  </numFmts>
  <fonts count="27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theme="5"/>
      </left>
      <right/>
      <top style="thick">
        <color theme="5"/>
      </top>
      <bottom style="thin">
        <color auto="1"/>
      </bottom>
      <diagonal/>
    </border>
    <border>
      <left/>
      <right style="thin">
        <color auto="1"/>
      </right>
      <top style="thick">
        <color theme="5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 style="thin">
        <color auto="1"/>
      </top>
      <bottom style="thick">
        <color theme="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theme="5"/>
      </top>
      <bottom/>
      <diagonal/>
    </border>
    <border>
      <left style="thick">
        <color theme="5"/>
      </left>
      <right style="thin">
        <color theme="1"/>
      </right>
      <top style="thick">
        <color theme="5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5"/>
      </top>
      <bottom style="thin">
        <color theme="1"/>
      </bottom>
      <diagonal/>
    </border>
    <border>
      <left style="thin">
        <color theme="1"/>
      </left>
      <right style="thick">
        <color theme="5"/>
      </right>
      <top style="thick">
        <color theme="5"/>
      </top>
      <bottom style="thin">
        <color theme="1"/>
      </bottom>
      <diagonal/>
    </border>
    <border>
      <left style="thick">
        <color theme="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5"/>
      </right>
      <top style="thin">
        <color theme="1"/>
      </top>
      <bottom style="thin">
        <color theme="1"/>
      </bottom>
      <diagonal/>
    </border>
    <border>
      <left style="thick">
        <color theme="5"/>
      </left>
      <right style="thin">
        <color theme="1"/>
      </right>
      <top style="thin">
        <color theme="1"/>
      </top>
      <bottom style="thick">
        <color theme="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5"/>
      </bottom>
      <diagonal/>
    </border>
    <border>
      <left style="thin">
        <color theme="1"/>
      </left>
      <right style="thick">
        <color theme="5"/>
      </right>
      <top style="thin">
        <color theme="1"/>
      </top>
      <bottom style="thick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5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5"/>
      </right>
      <top style="thin">
        <color theme="1"/>
      </top>
      <bottom/>
      <diagonal/>
    </border>
    <border>
      <left style="thick">
        <color theme="5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ck">
        <color theme="5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thick">
        <color theme="5"/>
      </top>
      <bottom/>
      <diagonal/>
    </border>
    <border>
      <left/>
      <right/>
      <top style="thin">
        <color auto="1"/>
      </top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/>
      <top style="thin">
        <color auto="1"/>
      </top>
      <bottom style="thick">
        <color theme="5"/>
      </bottom>
      <diagonal/>
    </border>
    <border>
      <left/>
      <right style="thick">
        <color theme="5"/>
      </right>
      <top style="thin">
        <color auto="1"/>
      </top>
      <bottom style="thick">
        <color theme="5"/>
      </bottom>
      <diagonal/>
    </border>
    <border>
      <left/>
      <right/>
      <top style="thick">
        <color theme="5"/>
      </top>
      <bottom style="thin">
        <color auto="1"/>
      </bottom>
      <diagonal/>
    </border>
    <border>
      <left style="thick">
        <color theme="5"/>
      </left>
      <right/>
      <top style="thin">
        <color theme="1"/>
      </top>
      <bottom style="thick">
        <color theme="5"/>
      </bottom>
      <diagonal/>
    </border>
    <border>
      <left/>
      <right style="thin">
        <color theme="1"/>
      </right>
      <top style="thin">
        <color theme="1"/>
      </top>
      <bottom style="thick">
        <color theme="5"/>
      </bottom>
      <diagonal/>
    </border>
    <border>
      <left style="thick">
        <color theme="5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5"/>
      </right>
      <top/>
      <bottom style="thin">
        <color theme="1"/>
      </bottom>
      <diagonal/>
    </border>
    <border>
      <left style="thick">
        <color theme="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5"/>
      </right>
      <top/>
      <bottom style="thin">
        <color auto="1"/>
      </bottom>
      <diagonal/>
    </border>
    <border>
      <left style="thick">
        <color theme="5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thick">
        <color theme="5"/>
      </top>
      <bottom style="thin">
        <color indexed="64"/>
      </bottom>
      <diagonal/>
    </border>
  </borders>
  <cellStyleXfs count="3">
    <xf numFmtId="0" fontId="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6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10" fontId="4" fillId="0" borderId="2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29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6" fillId="0" borderId="0" xfId="0" applyFont="1" applyAlignment="1"/>
    <xf numFmtId="0" fontId="0" fillId="0" borderId="20" xfId="0" applyBorder="1"/>
    <xf numFmtId="0" fontId="0" fillId="0" borderId="20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20" xfId="0" applyFont="1" applyBorder="1"/>
    <xf numFmtId="0" fontId="2" fillId="0" borderId="0" xfId="0" applyFont="1" applyFill="1" applyBorder="1"/>
    <xf numFmtId="0" fontId="0" fillId="0" borderId="2" xfId="0" applyBorder="1"/>
    <xf numFmtId="0" fontId="2" fillId="0" borderId="3" xfId="0" applyFont="1" applyFill="1" applyBorder="1"/>
    <xf numFmtId="0" fontId="0" fillId="0" borderId="0" xfId="0" applyAlignment="1"/>
    <xf numFmtId="0" fontId="0" fillId="0" borderId="29" xfId="0" applyBorder="1" applyAlignment="1">
      <alignment horizontal="center"/>
    </xf>
    <xf numFmtId="0" fontId="0" fillId="0" borderId="28" xfId="0" applyBorder="1"/>
    <xf numFmtId="0" fontId="0" fillId="0" borderId="0" xfId="0" applyBorder="1" applyAlignment="1">
      <alignment horizontal="right" vertical="center"/>
    </xf>
    <xf numFmtId="0" fontId="2" fillId="0" borderId="2" xfId="0" applyFont="1" applyBorder="1"/>
    <xf numFmtId="0" fontId="0" fillId="0" borderId="30" xfId="0" applyBorder="1"/>
    <xf numFmtId="0" fontId="0" fillId="0" borderId="11" xfId="0" quotePrefix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Border="1"/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11" fillId="0" borderId="0" xfId="0" applyFont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0" fillId="0" borderId="0" xfId="0" applyFont="1"/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2" xfId="0" quotePrefix="1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6" fontId="0" fillId="0" borderId="60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66" fontId="2" fillId="0" borderId="79" xfId="0" applyNumberFormat="1" applyFont="1" applyBorder="1" applyAlignment="1">
      <alignment horizontal="center" vertical="center"/>
    </xf>
    <xf numFmtId="166" fontId="2" fillId="0" borderId="83" xfId="0" applyNumberFormat="1" applyFont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0" fillId="0" borderId="32" xfId="0" applyBorder="1"/>
    <xf numFmtId="0" fontId="0" fillId="0" borderId="83" xfId="0" applyBorder="1"/>
    <xf numFmtId="0" fontId="0" fillId="0" borderId="56" xfId="0" applyBorder="1"/>
    <xf numFmtId="0" fontId="0" fillId="0" borderId="35" xfId="0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1" fontId="0" fillId="0" borderId="32" xfId="0" applyNumberFormat="1" applyBorder="1" applyAlignment="1">
      <alignment horizontal="center" vertical="center"/>
    </xf>
    <xf numFmtId="11" fontId="0" fillId="0" borderId="3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2" fillId="10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56" xfId="0" quotePrefix="1" applyBorder="1" applyAlignment="1">
      <alignment horizontal="center" vertical="center"/>
    </xf>
    <xf numFmtId="0" fontId="0" fillId="0" borderId="101" xfId="0" quotePrefix="1" applyBorder="1" applyAlignment="1">
      <alignment horizontal="center" vertical="center"/>
    </xf>
    <xf numFmtId="0" fontId="2" fillId="7" borderId="102" xfId="0" applyFont="1" applyFill="1" applyBorder="1" applyAlignment="1">
      <alignment horizontal="center" vertical="center"/>
    </xf>
    <xf numFmtId="0" fontId="0" fillId="0" borderId="103" xfId="0" quotePrefix="1" applyBorder="1" applyAlignment="1">
      <alignment horizontal="center" vertical="center"/>
    </xf>
    <xf numFmtId="0" fontId="0" fillId="0" borderId="45" xfId="0" quotePrefix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104" xfId="0" quotePrefix="1" applyNumberFormat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2" fontId="0" fillId="0" borderId="45" xfId="0" quotePrefix="1" applyNumberFormat="1" applyBorder="1" applyAlignment="1">
      <alignment horizontal="center" vertical="center"/>
    </xf>
    <xf numFmtId="0" fontId="0" fillId="0" borderId="1" xfId="0" applyBorder="1"/>
    <xf numFmtId="0" fontId="0" fillId="0" borderId="10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05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1" fontId="0" fillId="0" borderId="40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1" fontId="0" fillId="0" borderId="1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1" fontId="0" fillId="0" borderId="39" xfId="0" applyNumberFormat="1" applyBorder="1" applyAlignment="1">
      <alignment horizontal="center" vertical="center"/>
    </xf>
    <xf numFmtId="11" fontId="0" fillId="0" borderId="13" xfId="0" quotePrefix="1" applyNumberFormat="1" applyBorder="1" applyAlignment="1">
      <alignment horizontal="center" vertical="center"/>
    </xf>
    <xf numFmtId="11" fontId="0" fillId="0" borderId="14" xfId="0" quotePrefix="1" applyNumberFormat="1" applyBorder="1" applyAlignment="1">
      <alignment horizontal="center" vertical="center"/>
    </xf>
    <xf numFmtId="11" fontId="0" fillId="0" borderId="32" xfId="0" quotePrefix="1" applyNumberFormat="1" applyBorder="1" applyAlignment="1">
      <alignment horizontal="center" vertical="center"/>
    </xf>
    <xf numFmtId="11" fontId="0" fillId="0" borderId="34" xfId="0" quotePrefix="1" applyNumberFormat="1" applyBorder="1" applyAlignment="1">
      <alignment horizontal="center" vertical="center"/>
    </xf>
    <xf numFmtId="165" fontId="0" fillId="0" borderId="13" xfId="0" quotePrefix="1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32" xfId="0" quotePrefix="1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1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1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11" borderId="107" xfId="0" applyFill="1" applyBorder="1" applyAlignment="1">
      <alignment horizontal="center" vertical="center"/>
    </xf>
    <xf numFmtId="0" fontId="0" fillId="11" borderId="109" xfId="0" applyFill="1" applyBorder="1" applyAlignment="1">
      <alignment horizontal="center" vertical="center"/>
    </xf>
    <xf numFmtId="0" fontId="0" fillId="0" borderId="3" xfId="0" applyBorder="1"/>
    <xf numFmtId="0" fontId="0" fillId="0" borderId="43" xfId="0" applyBorder="1"/>
    <xf numFmtId="0" fontId="0" fillId="0" borderId="105" xfId="0" applyBorder="1"/>
    <xf numFmtId="0" fontId="0" fillId="0" borderId="109" xfId="0" applyBorder="1"/>
    <xf numFmtId="0" fontId="0" fillId="0" borderId="107" xfId="0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6" borderId="24" xfId="0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115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65" fontId="0" fillId="0" borderId="116" xfId="0" applyNumberFormat="1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165" fontId="0" fillId="0" borderId="1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0" fontId="0" fillId="0" borderId="74" xfId="0" quotePrefix="1" applyBorder="1" applyAlignment="1">
      <alignment horizontal="center" vertical="center"/>
    </xf>
    <xf numFmtId="2" fontId="0" fillId="0" borderId="13" xfId="0" quotePrefix="1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10" xfId="0" quotePrefix="1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0" fillId="0" borderId="17" xfId="0" quotePrefix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10" borderId="29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0" fontId="0" fillId="0" borderId="3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5" fontId="0" fillId="0" borderId="108" xfId="0" applyNumberFormat="1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0" fontId="2" fillId="10" borderId="102" xfId="0" applyFont="1" applyFill="1" applyBorder="1" applyAlignment="1">
      <alignment horizontal="center" vertical="center"/>
    </xf>
    <xf numFmtId="2" fontId="0" fillId="0" borderId="103" xfId="0" applyNumberFormat="1" applyBorder="1" applyAlignment="1">
      <alignment horizontal="center" vertical="center"/>
    </xf>
    <xf numFmtId="2" fontId="0" fillId="0" borderId="117" xfId="0" applyNumberFormat="1" applyBorder="1" applyAlignment="1">
      <alignment horizontal="center" vertical="center"/>
    </xf>
    <xf numFmtId="0" fontId="0" fillId="0" borderId="62" xfId="0" quotePrefix="1" applyBorder="1" applyAlignment="1">
      <alignment horizontal="center" vertical="center"/>
    </xf>
    <xf numFmtId="0" fontId="0" fillId="0" borderId="119" xfId="0" quotePrefix="1" applyBorder="1" applyAlignment="1">
      <alignment horizontal="center" vertical="center"/>
    </xf>
    <xf numFmtId="0" fontId="0" fillId="12" borderId="2" xfId="0" applyFill="1" applyBorder="1"/>
    <xf numFmtId="0" fontId="0" fillId="12" borderId="29" xfId="0" applyFill="1" applyBorder="1"/>
    <xf numFmtId="0" fontId="0" fillId="3" borderId="3" xfId="0" applyFill="1" applyBorder="1"/>
    <xf numFmtId="0" fontId="0" fillId="12" borderId="2" xfId="0" applyFill="1" applyBorder="1" applyAlignment="1">
      <alignment horizontal="center" vertical="center"/>
    </xf>
    <xf numFmtId="0" fontId="0" fillId="12" borderId="107" xfId="0" applyFill="1" applyBorder="1" applyAlignment="1">
      <alignment horizontal="center" vertical="center"/>
    </xf>
    <xf numFmtId="0" fontId="0" fillId="3" borderId="109" xfId="0" applyFill="1" applyBorder="1"/>
    <xf numFmtId="165" fontId="0" fillId="0" borderId="42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2" fillId="10" borderId="1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1" fontId="0" fillId="0" borderId="16" xfId="0" applyNumberFormat="1" applyBorder="1" applyAlignment="1">
      <alignment horizontal="center" vertical="center"/>
    </xf>
    <xf numFmtId="11" fontId="0" fillId="0" borderId="17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10" borderId="111" xfId="0" applyFont="1" applyFill="1" applyBorder="1" applyAlignment="1">
      <alignment horizontal="center" vertical="center"/>
    </xf>
    <xf numFmtId="165" fontId="0" fillId="0" borderId="10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21" xfId="0" applyBorder="1"/>
    <xf numFmtId="0" fontId="0" fillId="0" borderId="0" xfId="0" quotePrefix="1"/>
    <xf numFmtId="44" fontId="0" fillId="0" borderId="0" xfId="1" applyFont="1"/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right"/>
    </xf>
    <xf numFmtId="43" fontId="10" fillId="0" borderId="0" xfId="2" applyFont="1"/>
    <xf numFmtId="0" fontId="26" fillId="0" borderId="0" xfId="0" applyFont="1"/>
    <xf numFmtId="0" fontId="2" fillId="13" borderId="24" xfId="0" applyFont="1" applyFill="1" applyBorder="1" applyAlignment="1"/>
    <xf numFmtId="0" fontId="2" fillId="13" borderId="24" xfId="0" applyFont="1" applyFill="1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11" fontId="0" fillId="0" borderId="0" xfId="0" applyNumberFormat="1" applyBorder="1"/>
    <xf numFmtId="43" fontId="0" fillId="0" borderId="0" xfId="2" applyFont="1" applyBorder="1"/>
    <xf numFmtId="9" fontId="0" fillId="0" borderId="0" xfId="0" applyNumberFormat="1" applyFill="1" applyBorder="1"/>
    <xf numFmtId="0" fontId="0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left"/>
    </xf>
    <xf numFmtId="0" fontId="2" fillId="10" borderId="31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left"/>
    </xf>
    <xf numFmtId="0" fontId="2" fillId="9" borderId="31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" fillId="8" borderId="4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0" fillId="3" borderId="105" xfId="0" applyFill="1" applyBorder="1" applyAlignment="1">
      <alignment horizontal="right" vertical="center"/>
    </xf>
    <xf numFmtId="0" fontId="0" fillId="3" borderId="108" xfId="0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 horizontal="right"/>
    </xf>
    <xf numFmtId="0" fontId="11" fillId="0" borderId="4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3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7" borderId="25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29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10" borderId="25" xfId="0" applyFont="1" applyFill="1" applyBorder="1" applyAlignment="1">
      <alignment horizontal="center" vertical="center" textRotation="90" wrapText="1"/>
    </xf>
    <xf numFmtId="0" fontId="2" fillId="10" borderId="42" xfId="0" applyFont="1" applyFill="1" applyBorder="1" applyAlignment="1">
      <alignment horizontal="center" vertical="center" textRotation="90" wrapText="1"/>
    </xf>
    <xf numFmtId="0" fontId="2" fillId="10" borderId="29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right"/>
    </xf>
    <xf numFmtId="0" fontId="11" fillId="0" borderId="44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1" fillId="0" borderId="11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12" borderId="1" xfId="0" applyFill="1" applyBorder="1" applyAlignment="1">
      <alignment horizontal="right" vertical="center"/>
    </xf>
    <xf numFmtId="0" fontId="0" fillId="12" borderId="20" xfId="0" applyFill="1" applyBorder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12" borderId="43" xfId="0" applyFill="1" applyBorder="1" applyAlignment="1">
      <alignment horizontal="right" vertical="center"/>
    </xf>
    <xf numFmtId="0" fontId="0" fillId="12" borderId="106" xfId="0" applyFill="1" applyBorder="1" applyAlignment="1">
      <alignment horizontal="right" vertical="center"/>
    </xf>
    <xf numFmtId="0" fontId="0" fillId="11" borderId="105" xfId="0" applyFill="1" applyBorder="1" applyAlignment="1">
      <alignment horizontal="right" vertical="center"/>
    </xf>
    <xf numFmtId="0" fontId="0" fillId="11" borderId="108" xfId="0" applyFill="1" applyBorder="1" applyAlignment="1">
      <alignment horizontal="right" vertical="center"/>
    </xf>
    <xf numFmtId="0" fontId="0" fillId="11" borderId="43" xfId="0" applyFill="1" applyBorder="1" applyAlignment="1">
      <alignment horizontal="right" vertical="center"/>
    </xf>
    <xf numFmtId="0" fontId="0" fillId="11" borderId="106" xfId="0" applyFill="1" applyBorder="1" applyAlignment="1">
      <alignment horizontal="right" vertical="center"/>
    </xf>
    <xf numFmtId="0" fontId="0" fillId="3" borderId="3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12" borderId="28" xfId="0" applyFill="1" applyBorder="1" applyAlignment="1">
      <alignment horizontal="right"/>
    </xf>
    <xf numFmtId="0" fontId="0" fillId="12" borderId="0" xfId="0" applyFill="1" applyBorder="1" applyAlignment="1">
      <alignment horizontal="right"/>
    </xf>
    <xf numFmtId="0" fontId="0" fillId="3" borderId="105" xfId="0" applyFill="1" applyBorder="1" applyAlignment="1">
      <alignment horizontal="right"/>
    </xf>
    <xf numFmtId="0" fontId="0" fillId="3" borderId="108" xfId="0" applyFill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12" borderId="1" xfId="0" applyFill="1" applyBorder="1" applyAlignment="1">
      <alignment horizontal="right"/>
    </xf>
    <xf numFmtId="0" fontId="0" fillId="12" borderId="20" xfId="0" applyFill="1" applyBorder="1" applyAlignment="1">
      <alignment horizontal="right"/>
    </xf>
    <xf numFmtId="0" fontId="12" fillId="0" borderId="2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95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97" xfId="0" applyFill="1" applyBorder="1" applyAlignment="1">
      <alignment horizontal="right"/>
    </xf>
    <xf numFmtId="0" fontId="0" fillId="0" borderId="83" xfId="0" applyFill="1" applyBorder="1" applyAlignment="1">
      <alignment horizontal="right"/>
    </xf>
    <xf numFmtId="0" fontId="2" fillId="7" borderId="4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75" xfId="0" applyFont="1" applyBorder="1" applyAlignment="1">
      <alignment horizontal="right"/>
    </xf>
    <xf numFmtId="0" fontId="2" fillId="0" borderId="76" xfId="0" applyFont="1" applyBorder="1" applyAlignment="1">
      <alignment horizontal="right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87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53" xfId="0" applyFont="1" applyBorder="1" applyAlignment="1">
      <alignment horizontal="right"/>
    </xf>
    <xf numFmtId="0" fontId="17" fillId="0" borderId="82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84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7" fillId="0" borderId="86" xfId="0" applyFont="1" applyBorder="1" applyAlignment="1">
      <alignment horizontal="right"/>
    </xf>
    <xf numFmtId="0" fontId="17" fillId="0" borderId="51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2" fillId="0" borderId="78" xfId="0" applyFont="1" applyBorder="1" applyAlignment="1">
      <alignment horizontal="right" vertical="center"/>
    </xf>
    <xf numFmtId="0" fontId="2" fillId="0" borderId="7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3" xfId="0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8" borderId="99" xfId="0" applyFill="1" applyBorder="1" applyAlignment="1">
      <alignment horizontal="center"/>
    </xf>
    <xf numFmtId="0" fontId="0" fillId="8" borderId="94" xfId="0" applyFill="1" applyBorder="1" applyAlignment="1">
      <alignment horizontal="center"/>
    </xf>
    <xf numFmtId="0" fontId="0" fillId="8" borderId="100" xfId="0" applyFill="1" applyBorder="1" applyAlignment="1">
      <alignment horizontal="center"/>
    </xf>
    <xf numFmtId="0" fontId="2" fillId="0" borderId="81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37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14" borderId="29" xfId="0" applyFill="1" applyBorder="1" applyAlignment="1">
      <alignment horizontal="left" vertical="center"/>
    </xf>
    <xf numFmtId="166" fontId="0" fillId="14" borderId="0" xfId="0" applyNumberFormat="1" applyFill="1" applyAlignment="1">
      <alignment horizontal="center"/>
    </xf>
    <xf numFmtId="0" fontId="0" fillId="14" borderId="0" xfId="0" applyFill="1" applyAlignment="1">
      <alignment horizontal="center"/>
    </xf>
    <xf numFmtId="3" fontId="0" fillId="0" borderId="4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114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0" fillId="0" borderId="111" xfId="0" quotePrefix="1" applyBorder="1" applyAlignment="1">
      <alignment horizontal="center" vertical="center"/>
    </xf>
    <xf numFmtId="0" fontId="0" fillId="0" borderId="120" xfId="0" quotePrefix="1" applyBorder="1" applyAlignment="1">
      <alignment horizontal="center" vertical="center"/>
    </xf>
    <xf numFmtId="166" fontId="0" fillId="0" borderId="114" xfId="0" applyNumberFormat="1" applyBorder="1" applyAlignment="1">
      <alignment horizontal="center" vertical="center"/>
    </xf>
    <xf numFmtId="166" fontId="0" fillId="0" borderId="63" xfId="0" applyNumberFormat="1" applyBorder="1" applyAlignment="1">
      <alignment horizontal="center" vertical="center"/>
    </xf>
    <xf numFmtId="166" fontId="0" fillId="0" borderId="105" xfId="0" applyNumberFormat="1" applyBorder="1" applyAlignment="1">
      <alignment horizontal="center" vertical="center"/>
    </xf>
    <xf numFmtId="166" fontId="0" fillId="0" borderId="109" xfId="0" applyNumberForma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29" xfId="0" applyFont="1" applyBorder="1" applyAlignment="1"/>
    <xf numFmtId="0" fontId="0" fillId="0" borderId="20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5" borderId="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2" fillId="0" borderId="11" xfId="0" applyFont="1" applyBorder="1" applyAlignment="1"/>
    <xf numFmtId="0" fontId="2" fillId="0" borderId="3" xfId="0" applyFont="1" applyBorder="1" applyAlignment="1"/>
  </cellXfs>
  <cellStyles count="3">
    <cellStyle name="Comma" xfId="2" builtinId="3"/>
    <cellStyle name="Currency" xfId="1" builtinId="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9E1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83654</xdr:colOff>
      <xdr:row>10</xdr:row>
      <xdr:rowOff>112642</xdr:rowOff>
    </xdr:from>
    <xdr:ext cx="2743187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302854" y="2770117"/>
              <a:ext cx="274318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𝐶𝑂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/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𝐶𝐻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/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𝑂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−3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𝐹𝑢𝑒𝑙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𝐻𝐻𝑉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𝐸𝐹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302854" y="2770117"/>
              <a:ext cx="274318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〖𝐶𝑂〗_2/〖𝐶𝐻〗_4/𝑁_2 𝑂=1𝑥〖10〗^(−3)∗𝐹𝑢𝑒𝑙∗𝐻𝐻𝑉∗𝐸𝐹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436079</xdr:colOff>
      <xdr:row>17</xdr:row>
      <xdr:rowOff>84067</xdr:rowOff>
    </xdr:from>
    <xdr:ext cx="4359719" cy="1951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84454" y="3998842"/>
              <a:ext cx="4359719" cy="195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𝐸𝐹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𝑙𝑖𝑚𝑒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𝑜𝑟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𝐸𝐹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𝐿𝐾𝐷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𝐶𝑎𝑂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𝐶𝑎𝑂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𝑙𝑖𝑚𝑒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𝑜𝑟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𝐿𝐾𝐷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𝑀𝑔𝑂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𝑀𝑔𝑂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𝑙𝑖𝑚𝑒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𝑜𝑟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𝐿𝐾𝐷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84454" y="3998842"/>
              <a:ext cx="4359719" cy="195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〖𝐸𝐹〗_𝑙𝑖𝑚𝑒  𝑜𝑟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〖𝐸𝐹〗_𝐿𝐾𝐷</a:t>
              </a:r>
              <a:r>
                <a:rPr lang="en-US" sz="1100" b="0" i="0">
                  <a:latin typeface="Cambria Math" panose="02040503050406030204" pitchFamily="18" charset="0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(〖𝑆𝑅〗_𝐶𝑎𝑂∗〖𝐶𝑎𝑂〗_(𝑙𝑖𝑚𝑒 𝑜𝑟 𝐿𝐾𝐷) )+(〖𝑆𝑅〗_𝑀𝑔𝑂∗〖𝑀𝑔𝑂〗_(𝑙𝑖𝑚𝑒 𝑜𝑟 𝐿𝐾𝐷)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123825</xdr:colOff>
      <xdr:row>19</xdr:row>
      <xdr:rowOff>66675</xdr:rowOff>
    </xdr:from>
    <xdr:ext cx="3856056" cy="1998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6781800" y="4010025"/>
              <a:ext cx="3856056" cy="199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𝑤𝑎𝑠𝑡𝑒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𝑆𝑅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𝐶𝑎𝑂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𝐶𝑎𝑂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𝑤𝑎𝑠𝑡𝑒</m:t>
                                </m:r>
                              </m:sub>
                            </m:sSub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𝑆𝑅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𝑀𝑔𝑂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𝑀𝑔𝑂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𝑤𝑎𝑠𝑡𝑒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𝑤𝑎𝑠𝑡𝑒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6781800" y="4010025"/>
              <a:ext cx="3856056" cy="199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𝐸_𝑤𝑎𝑠𝑡𝑒=[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(〖𝑆𝑅〗_𝐶𝑎𝑂∗〖𝐶𝑎𝑂〗_𝑤𝑎𝑠𝑡𝑒 )+(〖𝑆𝑅〗_𝑀𝑔𝑂∗〖𝑀𝑔𝑂〗_𝑤𝑎𝑠𝑡𝑒 )]</a:t>
              </a:r>
              <a:r>
                <a:rPr lang="en-US" sz="1100" b="0" i="0">
                  <a:latin typeface="Cambria Math" panose="02040503050406030204" pitchFamily="18" charset="0"/>
                </a:rPr>
                <a:t>∗𝑀_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𝑤𝑎𝑠𝑡𝑒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476250</xdr:colOff>
      <xdr:row>24</xdr:row>
      <xdr:rowOff>95250</xdr:rowOff>
    </xdr:from>
    <xdr:ext cx="3137205" cy="1840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134225" y="4895850"/>
              <a:ext cx="3137205" cy="1840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𝐶𝑂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𝐸𝐹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𝑙𝑖𝑚𝑒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𝑙𝑖𝑚𝑒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𝐸𝐹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𝐿𝐾𝐷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𝐿𝐾𝐷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𝑤𝑎𝑠𝑡𝑒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134225" y="4895850"/>
              <a:ext cx="3137205" cy="1840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𝐸_(〖𝐶𝑂〗_2 )=(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〖𝐸𝐹〗_𝑙𝑖𝑚𝑒∗𝑀_𝑙𝑖𝑚𝑒 )</a:t>
              </a:r>
              <a:r>
                <a:rPr lang="en-US" sz="1100" b="0" i="0">
                  <a:latin typeface="Cambria Math" panose="02040503050406030204" pitchFamily="18" charset="0"/>
                </a:rPr>
                <a:t>+(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〖𝐸𝐹〗_𝐿𝐾𝐷∗𝑀_𝐿𝐾𝐷 )</a:t>
              </a:r>
              <a:r>
                <a:rPr lang="en-US" sz="1100" b="0" i="0">
                  <a:latin typeface="Cambria Math" panose="02040503050406030204" pitchFamily="18" charset="0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𝐸_𝑤𝑎𝑠𝑡𝑒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14"/>
  <sheetViews>
    <sheetView topLeftCell="C1" workbookViewId="0">
      <selection activeCell="F8" sqref="F8"/>
    </sheetView>
  </sheetViews>
  <sheetFormatPr defaultRowHeight="15" x14ac:dyDescent="0.25"/>
  <cols>
    <col min="1" max="1" width="8.140625" customWidth="1"/>
    <col min="2" max="2" width="40.42578125" customWidth="1"/>
    <col min="7" max="7" width="10.28515625" customWidth="1"/>
    <col min="8" max="8" width="13.42578125" customWidth="1"/>
    <col min="9" max="10" width="14.7109375" customWidth="1"/>
    <col min="11" max="11" width="19.140625" customWidth="1"/>
    <col min="12" max="12" width="17" customWidth="1"/>
    <col min="13" max="13" width="17.42578125" customWidth="1"/>
    <col min="14" max="14" width="13.42578125" customWidth="1"/>
    <col min="15" max="16" width="12.7109375" customWidth="1"/>
    <col min="17" max="17" width="12.28515625" customWidth="1"/>
  </cols>
  <sheetData>
    <row r="1" spans="1:17" ht="21" x14ac:dyDescent="0.35">
      <c r="A1" s="251" t="s">
        <v>275</v>
      </c>
    </row>
    <row r="2" spans="1:17" x14ac:dyDescent="0.25">
      <c r="C2" s="360" t="s">
        <v>10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3"/>
    </row>
    <row r="3" spans="1:17" ht="15.75" thickBot="1" x14ac:dyDescent="0.3"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3"/>
    </row>
    <row r="4" spans="1:17" ht="15.75" hidden="1" customHeight="1" thickBot="1" x14ac:dyDescent="0.3"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14"/>
      <c r="O4" s="364" t="s">
        <v>7</v>
      </c>
      <c r="P4" s="365"/>
    </row>
    <row r="5" spans="1:17" ht="33.75" thickBot="1" x14ac:dyDescent="0.3">
      <c r="A5" s="4"/>
      <c r="B5" s="3"/>
      <c r="C5" s="350" t="s">
        <v>0</v>
      </c>
      <c r="D5" s="351"/>
      <c r="E5" s="351"/>
      <c r="F5" s="8" t="s">
        <v>2</v>
      </c>
      <c r="G5" s="8" t="s">
        <v>15</v>
      </c>
      <c r="H5" s="8" t="s">
        <v>5</v>
      </c>
      <c r="I5" s="8" t="s">
        <v>6</v>
      </c>
      <c r="J5" s="8" t="s">
        <v>19</v>
      </c>
      <c r="K5" s="15" t="s">
        <v>22</v>
      </c>
      <c r="L5" s="15" t="s">
        <v>16</v>
      </c>
      <c r="M5" s="16" t="s">
        <v>17</v>
      </c>
      <c r="N5" s="22" t="s">
        <v>18</v>
      </c>
      <c r="O5" s="5" t="s">
        <v>13</v>
      </c>
      <c r="P5" s="21" t="s">
        <v>14</v>
      </c>
      <c r="Q5" s="3"/>
    </row>
    <row r="6" spans="1:17" x14ac:dyDescent="0.25">
      <c r="B6" s="11" t="s">
        <v>3</v>
      </c>
      <c r="C6" s="352" t="s">
        <v>1</v>
      </c>
      <c r="D6" s="353"/>
      <c r="E6" s="353"/>
      <c r="F6" s="353">
        <v>44.4</v>
      </c>
      <c r="G6" s="358">
        <v>25</v>
      </c>
      <c r="H6" s="9">
        <v>62</v>
      </c>
      <c r="I6" s="9">
        <f>H6*2</f>
        <v>124</v>
      </c>
      <c r="J6" s="18">
        <f>(G6/H6)</f>
        <v>0.40322580645161288</v>
      </c>
      <c r="K6" s="356">
        <v>1430</v>
      </c>
      <c r="L6" s="353">
        <v>1.4999999999999999E-2</v>
      </c>
      <c r="M6" s="362">
        <v>4.7999999999999996E-3</v>
      </c>
      <c r="N6" s="20">
        <f>F6*K6/J6</f>
        <v>157460.16</v>
      </c>
      <c r="O6" s="6">
        <f>F6*L6/J6</f>
        <v>1.6516799999999998</v>
      </c>
      <c r="P6" s="20">
        <f>F6*M6/J6</f>
        <v>0.52853759999999994</v>
      </c>
      <c r="Q6" s="348" t="s">
        <v>8</v>
      </c>
    </row>
    <row r="7" spans="1:17" ht="15.75" thickBot="1" x14ac:dyDescent="0.3">
      <c r="B7" s="12" t="s">
        <v>4</v>
      </c>
      <c r="C7" s="354"/>
      <c r="D7" s="355"/>
      <c r="E7" s="355"/>
      <c r="F7" s="355"/>
      <c r="G7" s="359"/>
      <c r="H7" s="10">
        <v>214</v>
      </c>
      <c r="I7" s="10">
        <f>H7*2</f>
        <v>428</v>
      </c>
      <c r="J7" s="19">
        <f>G6/H7</f>
        <v>0.11682242990654206</v>
      </c>
      <c r="K7" s="357"/>
      <c r="L7" s="355"/>
      <c r="M7" s="363"/>
      <c r="N7" s="17">
        <f>F6*K6/J7</f>
        <v>543491.52</v>
      </c>
      <c r="O7" s="7">
        <f>F6*L6/J7</f>
        <v>5.7009599999999994</v>
      </c>
      <c r="P7" s="17">
        <f>F6*M6/J7</f>
        <v>1.8243071999999998</v>
      </c>
      <c r="Q7" s="349"/>
    </row>
    <row r="8" spans="1:17" x14ac:dyDescent="0.25">
      <c r="N8" s="20">
        <f>CONVERT(N6,"g","kg")/24</f>
        <v>6.5608399999999998</v>
      </c>
      <c r="O8" s="20">
        <f t="shared" ref="O8:P8" si="0">CONVERT(O6,"g","kg")/24</f>
        <v>6.8819999999999995E-5</v>
      </c>
      <c r="P8" s="20">
        <f t="shared" si="0"/>
        <v>2.2022399999999998E-5</v>
      </c>
      <c r="Q8" s="348" t="s">
        <v>277</v>
      </c>
    </row>
    <row r="9" spans="1:17" ht="15.75" thickBot="1" x14ac:dyDescent="0.3">
      <c r="C9" s="1" t="s">
        <v>11</v>
      </c>
      <c r="N9" s="17">
        <f>CONVERT(N7,"g","kg")/24</f>
        <v>22.645480000000003</v>
      </c>
      <c r="O9" s="17">
        <f t="shared" ref="O9:P9" si="1">CONVERT(O7,"g","kg")/24</f>
        <v>2.3753999999999998E-4</v>
      </c>
      <c r="P9" s="17">
        <f t="shared" si="1"/>
        <v>7.6012799999999992E-5</v>
      </c>
      <c r="Q9" s="349"/>
    </row>
    <row r="10" spans="1:17" x14ac:dyDescent="0.25">
      <c r="C10" t="s">
        <v>12</v>
      </c>
      <c r="N10" s="23">
        <f>N8*365*0.001</f>
        <v>2.3947066000000001</v>
      </c>
      <c r="O10" s="23">
        <f t="shared" ref="O10:P10" si="2">O8*365*0.001</f>
        <v>2.5119299999999999E-5</v>
      </c>
      <c r="P10" s="23">
        <f t="shared" si="2"/>
        <v>8.0381759999999997E-6</v>
      </c>
      <c r="Q10" s="348" t="s">
        <v>276</v>
      </c>
    </row>
    <row r="11" spans="1:17" ht="15.75" thickBot="1" x14ac:dyDescent="0.3">
      <c r="N11" s="17">
        <f>N9*365*0.001</f>
        <v>8.2656002000000015</v>
      </c>
      <c r="O11" s="17">
        <f t="shared" ref="O11:P11" si="3">O9*365*0.001</f>
        <v>8.6702099999999991E-5</v>
      </c>
      <c r="P11" s="17">
        <f t="shared" si="3"/>
        <v>2.7744671999999999E-5</v>
      </c>
      <c r="Q11" s="349"/>
    </row>
    <row r="12" spans="1:17" x14ac:dyDescent="0.25">
      <c r="C12" s="1" t="s">
        <v>20</v>
      </c>
      <c r="M12" s="2" t="s">
        <v>9</v>
      </c>
      <c r="N12" s="24">
        <f>(N7-N6)/N7</f>
        <v>0.71028037383177567</v>
      </c>
      <c r="O12" s="24"/>
      <c r="P12" s="24"/>
    </row>
    <row r="13" spans="1:17" x14ac:dyDescent="0.25">
      <c r="C13" t="s">
        <v>21</v>
      </c>
    </row>
    <row r="14" spans="1:17" x14ac:dyDescent="0.25">
      <c r="M14" s="268" t="s">
        <v>278</v>
      </c>
      <c r="N14">
        <f>(N11-N10)+(O11-O10)*25+(P11-P10)*298</f>
        <v>5.8783057058080015</v>
      </c>
    </row>
  </sheetData>
  <mergeCells count="12">
    <mergeCell ref="C2:M4"/>
    <mergeCell ref="M6:M7"/>
    <mergeCell ref="O4:P4"/>
    <mergeCell ref="Q6:Q7"/>
    <mergeCell ref="Q8:Q9"/>
    <mergeCell ref="Q10:Q11"/>
    <mergeCell ref="C5:E5"/>
    <mergeCell ref="C6:E7"/>
    <mergeCell ref="F6:F7"/>
    <mergeCell ref="L6:L7"/>
    <mergeCell ref="K6:K7"/>
    <mergeCell ref="G6:G7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E137"/>
    <pageSetUpPr fitToPage="1"/>
  </sheetPr>
  <dimension ref="A1:Q50"/>
  <sheetViews>
    <sheetView topLeftCell="A37" zoomScaleNormal="100" workbookViewId="0">
      <selection activeCell="U45" sqref="U45"/>
    </sheetView>
  </sheetViews>
  <sheetFormatPr defaultRowHeight="15" x14ac:dyDescent="0.25"/>
  <cols>
    <col min="1" max="1" width="13.42578125" customWidth="1"/>
    <col min="6" max="11" width="13.7109375" customWidth="1"/>
  </cols>
  <sheetData>
    <row r="1" spans="1:17" ht="21" customHeight="1" x14ac:dyDescent="0.25">
      <c r="A1" s="375" t="s">
        <v>231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ht="15.75" thickBot="1" x14ac:dyDescent="0.3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7" ht="15.75" thickBot="1" x14ac:dyDescent="0.3">
      <c r="A3" s="372" t="s">
        <v>232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4"/>
    </row>
    <row r="4" spans="1:17" x14ac:dyDescent="0.25">
      <c r="A4" s="377" t="s">
        <v>239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</row>
    <row r="5" spans="1:17" ht="15.75" customHeight="1" thickBot="1" x14ac:dyDescent="0.3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</row>
    <row r="6" spans="1:17" ht="28.5" customHeight="1" thickBot="1" x14ac:dyDescent="0.3">
      <c r="A6" s="192"/>
      <c r="B6" s="197" t="s">
        <v>233</v>
      </c>
      <c r="C6" s="8" t="s">
        <v>150</v>
      </c>
      <c r="D6" s="8" t="s">
        <v>143</v>
      </c>
      <c r="E6" s="8" t="s">
        <v>240</v>
      </c>
      <c r="F6" s="8" t="s">
        <v>241</v>
      </c>
      <c r="G6" s="8" t="s">
        <v>242</v>
      </c>
      <c r="H6" s="8" t="s">
        <v>243</v>
      </c>
      <c r="I6" s="8" t="s">
        <v>244</v>
      </c>
      <c r="J6" s="8" t="s">
        <v>245</v>
      </c>
      <c r="K6" s="207" t="s">
        <v>246</v>
      </c>
      <c r="L6" s="197" t="s">
        <v>247</v>
      </c>
      <c r="M6" s="8" t="s">
        <v>248</v>
      </c>
      <c r="N6" s="8" t="s">
        <v>249</v>
      </c>
      <c r="O6" s="8" t="s">
        <v>13</v>
      </c>
      <c r="P6" s="8" t="s">
        <v>14</v>
      </c>
      <c r="Q6" s="195" t="s">
        <v>250</v>
      </c>
    </row>
    <row r="7" spans="1:17" ht="15.75" customHeight="1" thickBot="1" x14ac:dyDescent="0.3">
      <c r="A7" s="203" t="s">
        <v>234</v>
      </c>
      <c r="B7" s="369" t="s">
        <v>236</v>
      </c>
      <c r="C7" s="370"/>
      <c r="D7" s="370"/>
      <c r="E7" s="370"/>
      <c r="F7" s="370"/>
      <c r="G7" s="370"/>
      <c r="H7" s="370"/>
      <c r="I7" s="370"/>
      <c r="J7" s="370"/>
      <c r="K7" s="370"/>
      <c r="L7" s="369" t="s">
        <v>237</v>
      </c>
      <c r="M7" s="370"/>
      <c r="N7" s="370"/>
      <c r="O7" s="370"/>
      <c r="P7" s="370"/>
      <c r="Q7" s="371"/>
    </row>
    <row r="8" spans="1:17" ht="15.75" thickBot="1" x14ac:dyDescent="0.3">
      <c r="A8" s="193">
        <v>2019</v>
      </c>
      <c r="B8" s="198">
        <v>0.65539999999999998</v>
      </c>
      <c r="C8" s="187">
        <v>5.9504999999999999</v>
      </c>
      <c r="D8" s="187">
        <v>5.1698000000000004</v>
      </c>
      <c r="E8" s="187">
        <v>1.3899999999999999E-2</v>
      </c>
      <c r="F8" s="187">
        <v>0.51200000000000001</v>
      </c>
      <c r="G8" s="187">
        <v>0.224</v>
      </c>
      <c r="H8" s="187">
        <v>0.73599999999999999</v>
      </c>
      <c r="I8" s="187">
        <v>0.13070000000000001</v>
      </c>
      <c r="J8" s="187">
        <v>0.20680000000000001</v>
      </c>
      <c r="K8" s="206">
        <v>0.33750000000000002</v>
      </c>
      <c r="L8" s="198">
        <v>0</v>
      </c>
      <c r="M8" s="187">
        <v>1268.1686999999999</v>
      </c>
      <c r="N8" s="187">
        <v>1268.1686999999999</v>
      </c>
      <c r="O8" s="187">
        <v>0.2087</v>
      </c>
      <c r="P8" s="187">
        <v>0</v>
      </c>
      <c r="Q8" s="169">
        <v>1273.3862999999999</v>
      </c>
    </row>
    <row r="9" spans="1:17" ht="15.75" thickBot="1" x14ac:dyDescent="0.3">
      <c r="A9" s="84" t="s">
        <v>235</v>
      </c>
      <c r="B9" s="197">
        <f>B8</f>
        <v>0.65539999999999998</v>
      </c>
      <c r="C9" s="8">
        <f t="shared" ref="C9:Q9" si="0">C8</f>
        <v>5.9504999999999999</v>
      </c>
      <c r="D9" s="8">
        <f t="shared" si="0"/>
        <v>5.1698000000000004</v>
      </c>
      <c r="E9" s="8">
        <f t="shared" si="0"/>
        <v>1.3899999999999999E-2</v>
      </c>
      <c r="F9" s="8">
        <f t="shared" si="0"/>
        <v>0.51200000000000001</v>
      </c>
      <c r="G9" s="8">
        <f t="shared" si="0"/>
        <v>0.224</v>
      </c>
      <c r="H9" s="8">
        <f t="shared" si="0"/>
        <v>0.73599999999999999</v>
      </c>
      <c r="I9" s="8">
        <f t="shared" si="0"/>
        <v>0.13070000000000001</v>
      </c>
      <c r="J9" s="8">
        <f t="shared" si="0"/>
        <v>0.20680000000000001</v>
      </c>
      <c r="K9" s="207">
        <f t="shared" si="0"/>
        <v>0.33750000000000002</v>
      </c>
      <c r="L9" s="197">
        <f t="shared" si="0"/>
        <v>0</v>
      </c>
      <c r="M9" s="8">
        <f t="shared" si="0"/>
        <v>1268.1686999999999</v>
      </c>
      <c r="N9" s="8">
        <f t="shared" si="0"/>
        <v>1268.1686999999999</v>
      </c>
      <c r="O9" s="8">
        <f t="shared" si="0"/>
        <v>0.2087</v>
      </c>
      <c r="P9" s="8">
        <f t="shared" si="0"/>
        <v>0</v>
      </c>
      <c r="Q9" s="195">
        <f t="shared" si="0"/>
        <v>1273.3862999999999</v>
      </c>
    </row>
    <row r="10" spans="1:17" x14ac:dyDescent="0.25">
      <c r="A10" s="377" t="s">
        <v>238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9"/>
    </row>
    <row r="11" spans="1:17" ht="15.75" thickBot="1" x14ac:dyDescent="0.3">
      <c r="A11" s="380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2"/>
    </row>
    <row r="12" spans="1:17" ht="18.75" thickBot="1" x14ac:dyDescent="0.3">
      <c r="A12" s="192"/>
      <c r="B12" s="200" t="s">
        <v>233</v>
      </c>
      <c r="C12" s="201" t="s">
        <v>150</v>
      </c>
      <c r="D12" s="201" t="s">
        <v>143</v>
      </c>
      <c r="E12" s="201" t="s">
        <v>240</v>
      </c>
      <c r="F12" s="201" t="s">
        <v>241</v>
      </c>
      <c r="G12" s="201" t="s">
        <v>242</v>
      </c>
      <c r="H12" s="201" t="s">
        <v>243</v>
      </c>
      <c r="I12" s="201" t="s">
        <v>244</v>
      </c>
      <c r="J12" s="201" t="s">
        <v>245</v>
      </c>
      <c r="K12" s="205" t="s">
        <v>246</v>
      </c>
      <c r="L12" s="197" t="s">
        <v>247</v>
      </c>
      <c r="M12" s="201" t="s">
        <v>248</v>
      </c>
      <c r="N12" s="201" t="s">
        <v>249</v>
      </c>
      <c r="O12" s="201" t="s">
        <v>13</v>
      </c>
      <c r="P12" s="201" t="s">
        <v>14</v>
      </c>
      <c r="Q12" s="202" t="s">
        <v>250</v>
      </c>
    </row>
    <row r="13" spans="1:17" ht="15.75" customHeight="1" thickBot="1" x14ac:dyDescent="0.3">
      <c r="A13" s="203" t="s">
        <v>234</v>
      </c>
      <c r="B13" s="369" t="s">
        <v>236</v>
      </c>
      <c r="C13" s="370"/>
      <c r="D13" s="370"/>
      <c r="E13" s="370"/>
      <c r="F13" s="370"/>
      <c r="G13" s="370"/>
      <c r="H13" s="370"/>
      <c r="I13" s="370"/>
      <c r="J13" s="370"/>
      <c r="K13" s="371"/>
      <c r="L13" s="369" t="s">
        <v>237</v>
      </c>
      <c r="M13" s="370"/>
      <c r="N13" s="370"/>
      <c r="O13" s="370"/>
      <c r="P13" s="370"/>
      <c r="Q13" s="371"/>
    </row>
    <row r="14" spans="1:17" ht="15.75" thickBot="1" x14ac:dyDescent="0.3">
      <c r="A14" s="196">
        <v>2019</v>
      </c>
      <c r="B14" s="143">
        <v>0.65539999999999998</v>
      </c>
      <c r="C14" s="187">
        <v>5.9504999999999999</v>
      </c>
      <c r="D14" s="187">
        <v>5.1698000000000004</v>
      </c>
      <c r="E14" s="187">
        <v>1.3899999999999999E-2</v>
      </c>
      <c r="F14" s="187">
        <v>0.48380000000000001</v>
      </c>
      <c r="G14" s="187">
        <v>0.224</v>
      </c>
      <c r="H14" s="187">
        <v>0.70789999999999997</v>
      </c>
      <c r="I14" s="187">
        <v>0.12759999999999999</v>
      </c>
      <c r="J14" s="187">
        <v>0.20680000000000001</v>
      </c>
      <c r="K14" s="206">
        <v>0.33439999999999998</v>
      </c>
      <c r="L14" s="198">
        <v>0</v>
      </c>
      <c r="M14" s="187">
        <v>1268.1681000000001</v>
      </c>
      <c r="N14" s="187">
        <v>1268.1681000000001</v>
      </c>
      <c r="O14" s="187">
        <v>0.2087</v>
      </c>
      <c r="P14" s="187">
        <v>0</v>
      </c>
      <c r="Q14" s="204">
        <v>1273.3857</v>
      </c>
    </row>
    <row r="15" spans="1:17" ht="15.75" thickBot="1" x14ac:dyDescent="0.3">
      <c r="A15" s="84" t="s">
        <v>235</v>
      </c>
      <c r="B15" s="194">
        <f>B14</f>
        <v>0.65539999999999998</v>
      </c>
      <c r="C15" s="8">
        <f t="shared" ref="C15" si="1">C14</f>
        <v>5.9504999999999999</v>
      </c>
      <c r="D15" s="8">
        <f t="shared" ref="D15" si="2">D14</f>
        <v>5.1698000000000004</v>
      </c>
      <c r="E15" s="8">
        <f t="shared" ref="E15" si="3">E14</f>
        <v>1.3899999999999999E-2</v>
      </c>
      <c r="F15" s="8">
        <f t="shared" ref="F15" si="4">F14</f>
        <v>0.48380000000000001</v>
      </c>
      <c r="G15" s="8">
        <f t="shared" ref="G15" si="5">G14</f>
        <v>0.224</v>
      </c>
      <c r="H15" s="8">
        <f t="shared" ref="H15" si="6">H14</f>
        <v>0.70789999999999997</v>
      </c>
      <c r="I15" s="8">
        <f t="shared" ref="I15" si="7">I14</f>
        <v>0.12759999999999999</v>
      </c>
      <c r="J15" s="8">
        <f t="shared" ref="J15" si="8">J14</f>
        <v>0.20680000000000001</v>
      </c>
      <c r="K15" s="207">
        <f t="shared" ref="K15" si="9">K14</f>
        <v>0.33439999999999998</v>
      </c>
      <c r="L15" s="197">
        <f t="shared" ref="L15" si="10">L14</f>
        <v>0</v>
      </c>
      <c r="M15" s="8">
        <f t="shared" ref="M15" si="11">M14</f>
        <v>1268.1681000000001</v>
      </c>
      <c r="N15" s="8">
        <f t="shared" ref="N15" si="12">N14</f>
        <v>1268.1681000000001</v>
      </c>
      <c r="O15" s="8">
        <f t="shared" ref="O15" si="13">O14</f>
        <v>0.2087</v>
      </c>
      <c r="P15" s="8">
        <f t="shared" ref="P15" si="14">P14</f>
        <v>0</v>
      </c>
      <c r="Q15" s="199">
        <f t="shared" ref="Q15" si="15">Q14</f>
        <v>1273.3857</v>
      </c>
    </row>
    <row r="16" spans="1:17" ht="15.75" thickBot="1" x14ac:dyDescent="0.3"/>
    <row r="17" spans="1:17" ht="15.75" thickBot="1" x14ac:dyDescent="0.3">
      <c r="A17" s="372" t="s">
        <v>252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4"/>
    </row>
    <row r="18" spans="1:17" x14ac:dyDescent="0.25">
      <c r="A18" s="377" t="s">
        <v>239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9"/>
    </row>
    <row r="19" spans="1:17" ht="15.75" customHeight="1" thickBot="1" x14ac:dyDescent="0.3">
      <c r="A19" s="380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2"/>
    </row>
    <row r="20" spans="1:17" ht="27.75" customHeight="1" thickBot="1" x14ac:dyDescent="0.3">
      <c r="A20" s="192"/>
      <c r="B20" s="197" t="s">
        <v>233</v>
      </c>
      <c r="C20" s="8" t="s">
        <v>150</v>
      </c>
      <c r="D20" s="8" t="s">
        <v>143</v>
      </c>
      <c r="E20" s="8" t="s">
        <v>240</v>
      </c>
      <c r="F20" s="8" t="s">
        <v>241</v>
      </c>
      <c r="G20" s="8" t="s">
        <v>242</v>
      </c>
      <c r="H20" s="8" t="s">
        <v>243</v>
      </c>
      <c r="I20" s="8" t="s">
        <v>244</v>
      </c>
      <c r="J20" s="8" t="s">
        <v>245</v>
      </c>
      <c r="K20" s="207" t="s">
        <v>246</v>
      </c>
      <c r="L20" s="197" t="s">
        <v>247</v>
      </c>
      <c r="M20" s="8" t="s">
        <v>248</v>
      </c>
      <c r="N20" s="8" t="s">
        <v>249</v>
      </c>
      <c r="O20" s="8" t="s">
        <v>13</v>
      </c>
      <c r="P20" s="8" t="s">
        <v>14</v>
      </c>
      <c r="Q20" s="195" t="s">
        <v>250</v>
      </c>
    </row>
    <row r="21" spans="1:17" ht="15.75" thickBot="1" x14ac:dyDescent="0.3">
      <c r="A21" s="203" t="s">
        <v>234</v>
      </c>
      <c r="B21" s="369" t="s">
        <v>236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69" t="s">
        <v>237</v>
      </c>
      <c r="M21" s="370"/>
      <c r="N21" s="370"/>
      <c r="O21" s="370"/>
      <c r="P21" s="370"/>
      <c r="Q21" s="371"/>
    </row>
    <row r="22" spans="1:17" x14ac:dyDescent="0.25">
      <c r="A22" s="121">
        <v>2019</v>
      </c>
      <c r="B22" s="183">
        <v>1.0940000000000001</v>
      </c>
      <c r="C22" s="184">
        <v>6.9603999999999999</v>
      </c>
      <c r="D22" s="184">
        <v>8.0070999999999994</v>
      </c>
      <c r="E22" s="184">
        <v>2.5100000000000001E-2</v>
      </c>
      <c r="F22" s="184">
        <v>1.4263999999999999</v>
      </c>
      <c r="G22" s="184">
        <v>0.16109999999999999</v>
      </c>
      <c r="H22" s="184">
        <v>1.5874999999999999</v>
      </c>
      <c r="I22" s="184">
        <v>0.3841</v>
      </c>
      <c r="J22" s="184">
        <v>0.14979999999999999</v>
      </c>
      <c r="K22" s="181">
        <v>0.53390000000000004</v>
      </c>
      <c r="L22" s="183">
        <v>0</v>
      </c>
      <c r="M22" s="184">
        <v>2306.2786000000001</v>
      </c>
      <c r="N22" s="184">
        <v>2306.2786000000001</v>
      </c>
      <c r="O22" s="184">
        <v>0.21870000000000001</v>
      </c>
      <c r="P22" s="184">
        <v>0</v>
      </c>
      <c r="Q22" s="181">
        <v>2311.7465999999999</v>
      </c>
    </row>
    <row r="23" spans="1:17" ht="15.75" thickBot="1" x14ac:dyDescent="0.3">
      <c r="A23" s="208">
        <v>2020</v>
      </c>
      <c r="B23" s="185">
        <v>4.24E-2</v>
      </c>
      <c r="C23" s="186">
        <v>0.26790000000000003</v>
      </c>
      <c r="D23" s="186">
        <v>0.32600000000000001</v>
      </c>
      <c r="E23" s="186">
        <v>1.14E-3</v>
      </c>
      <c r="F23" s="186">
        <v>8.8200000000000001E-2</v>
      </c>
      <c r="G23" s="186">
        <v>4.9100000000000003E-3</v>
      </c>
      <c r="H23" s="186">
        <v>9.3200000000000005E-2</v>
      </c>
      <c r="I23" s="186">
        <v>2.3300000000000001E-2</v>
      </c>
      <c r="J23" s="186">
        <v>4.5500000000000002E-3</v>
      </c>
      <c r="K23" s="182">
        <v>2.7900000000000001E-2</v>
      </c>
      <c r="L23" s="185">
        <v>0</v>
      </c>
      <c r="M23" s="186">
        <v>104.8527</v>
      </c>
      <c r="N23" s="186">
        <v>104.8527</v>
      </c>
      <c r="O23" s="186">
        <v>8.7500000000000008E-3</v>
      </c>
      <c r="P23" s="186">
        <v>0</v>
      </c>
      <c r="Q23" s="182">
        <v>105.0716</v>
      </c>
    </row>
    <row r="24" spans="1:17" ht="15.75" thickBot="1" x14ac:dyDescent="0.3">
      <c r="A24" s="84" t="s">
        <v>235</v>
      </c>
      <c r="B24" s="197">
        <f t="shared" ref="B24:Q24" si="16">MAX(B22:B23)</f>
        <v>1.0940000000000001</v>
      </c>
      <c r="C24" s="8">
        <f t="shared" si="16"/>
        <v>6.9603999999999999</v>
      </c>
      <c r="D24" s="8">
        <f t="shared" si="16"/>
        <v>8.0070999999999994</v>
      </c>
      <c r="E24" s="8">
        <f t="shared" si="16"/>
        <v>2.5100000000000001E-2</v>
      </c>
      <c r="F24" s="8">
        <f t="shared" si="16"/>
        <v>1.4263999999999999</v>
      </c>
      <c r="G24" s="8">
        <f t="shared" si="16"/>
        <v>0.16109999999999999</v>
      </c>
      <c r="H24" s="8">
        <f t="shared" si="16"/>
        <v>1.5874999999999999</v>
      </c>
      <c r="I24" s="8">
        <f t="shared" si="16"/>
        <v>0.3841</v>
      </c>
      <c r="J24" s="8">
        <f t="shared" si="16"/>
        <v>0.14979999999999999</v>
      </c>
      <c r="K24" s="8">
        <f t="shared" si="16"/>
        <v>0.53390000000000004</v>
      </c>
      <c r="L24" s="197">
        <f t="shared" si="16"/>
        <v>0</v>
      </c>
      <c r="M24" s="8">
        <f t="shared" si="16"/>
        <v>2306.2786000000001</v>
      </c>
      <c r="N24" s="8">
        <f t="shared" si="16"/>
        <v>2306.2786000000001</v>
      </c>
      <c r="O24" s="8">
        <f t="shared" si="16"/>
        <v>0.21870000000000001</v>
      </c>
      <c r="P24" s="8">
        <f t="shared" si="16"/>
        <v>0</v>
      </c>
      <c r="Q24" s="8">
        <f t="shared" si="16"/>
        <v>2311.7465999999999</v>
      </c>
    </row>
    <row r="25" spans="1:17" x14ac:dyDescent="0.25">
      <c r="A25" s="377" t="s">
        <v>238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9"/>
    </row>
    <row r="26" spans="1:17" ht="15.75" thickBot="1" x14ac:dyDescent="0.3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2"/>
    </row>
    <row r="27" spans="1:17" ht="18.75" thickBot="1" x14ac:dyDescent="0.3">
      <c r="A27" s="192"/>
      <c r="B27" s="197" t="s">
        <v>233</v>
      </c>
      <c r="C27" s="8" t="s">
        <v>150</v>
      </c>
      <c r="D27" s="8" t="s">
        <v>143</v>
      </c>
      <c r="E27" s="8" t="s">
        <v>240</v>
      </c>
      <c r="F27" s="8" t="s">
        <v>241</v>
      </c>
      <c r="G27" s="8" t="s">
        <v>242</v>
      </c>
      <c r="H27" s="8" t="s">
        <v>243</v>
      </c>
      <c r="I27" s="8" t="s">
        <v>244</v>
      </c>
      <c r="J27" s="8" t="s">
        <v>245</v>
      </c>
      <c r="K27" s="207" t="s">
        <v>246</v>
      </c>
      <c r="L27" s="197" t="s">
        <v>247</v>
      </c>
      <c r="M27" s="8" t="s">
        <v>248</v>
      </c>
      <c r="N27" s="8" t="s">
        <v>249</v>
      </c>
      <c r="O27" s="8" t="s">
        <v>13</v>
      </c>
      <c r="P27" s="8" t="s">
        <v>14</v>
      </c>
      <c r="Q27" s="195" t="s">
        <v>250</v>
      </c>
    </row>
    <row r="28" spans="1:17" ht="15.75" thickBot="1" x14ac:dyDescent="0.3">
      <c r="A28" s="203" t="s">
        <v>234</v>
      </c>
      <c r="B28" s="369" t="s">
        <v>236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69" t="s">
        <v>237</v>
      </c>
      <c r="M28" s="370"/>
      <c r="N28" s="370"/>
      <c r="O28" s="370"/>
      <c r="P28" s="370"/>
      <c r="Q28" s="371"/>
    </row>
    <row r="29" spans="1:17" x14ac:dyDescent="0.25">
      <c r="A29" s="121">
        <v>2019</v>
      </c>
      <c r="B29" s="183">
        <v>1.0940000000000001</v>
      </c>
      <c r="C29" s="184">
        <v>6.9603999999999999</v>
      </c>
      <c r="D29" s="184">
        <v>8.0070999999999994</v>
      </c>
      <c r="E29" s="184">
        <v>2.5100000000000001E-2</v>
      </c>
      <c r="F29" s="184">
        <v>1.4263999999999999</v>
      </c>
      <c r="G29" s="184">
        <v>0.16109999999999999</v>
      </c>
      <c r="H29" s="184">
        <v>1.5874999999999999</v>
      </c>
      <c r="I29" s="184">
        <v>0.3841</v>
      </c>
      <c r="J29" s="184">
        <v>0.14979999999999999</v>
      </c>
      <c r="K29" s="181">
        <v>0.53390000000000004</v>
      </c>
      <c r="L29" s="183">
        <v>0</v>
      </c>
      <c r="M29" s="184">
        <v>2306.2782999999999</v>
      </c>
      <c r="N29" s="184">
        <v>2306.2782999999999</v>
      </c>
      <c r="O29" s="184">
        <v>0.21870000000000001</v>
      </c>
      <c r="P29" s="184">
        <v>0</v>
      </c>
      <c r="Q29" s="181">
        <v>2311.7462</v>
      </c>
    </row>
    <row r="30" spans="1:17" ht="15.75" thickBot="1" x14ac:dyDescent="0.3">
      <c r="A30" s="208">
        <v>2020</v>
      </c>
      <c r="B30" s="185">
        <v>4.24E-2</v>
      </c>
      <c r="C30" s="186">
        <v>0.26790000000000003</v>
      </c>
      <c r="D30" s="186">
        <v>0.32600000000000001</v>
      </c>
      <c r="E30" s="186">
        <v>1.14E-3</v>
      </c>
      <c r="F30" s="186">
        <v>8.8200000000000001E-2</v>
      </c>
      <c r="G30" s="186">
        <v>4.9100000000000003E-3</v>
      </c>
      <c r="H30" s="186">
        <v>9.3200000000000005E-2</v>
      </c>
      <c r="I30" s="186">
        <v>2.3300000000000001E-2</v>
      </c>
      <c r="J30" s="186">
        <v>4.5500000000000002E-3</v>
      </c>
      <c r="K30" s="182">
        <v>2.7900000000000001E-2</v>
      </c>
      <c r="L30" s="185">
        <v>0</v>
      </c>
      <c r="M30" s="186">
        <v>104.8527</v>
      </c>
      <c r="N30" s="186">
        <v>104.8527</v>
      </c>
      <c r="O30" s="186">
        <v>8.7500000000000008E-3</v>
      </c>
      <c r="P30" s="186">
        <v>0</v>
      </c>
      <c r="Q30" s="182">
        <v>105.0716</v>
      </c>
    </row>
    <row r="31" spans="1:17" ht="15.75" thickBot="1" x14ac:dyDescent="0.3">
      <c r="A31" s="84" t="s">
        <v>235</v>
      </c>
      <c r="B31" s="197">
        <f t="shared" ref="B31:Q31" si="17">MAX(B29:B30)</f>
        <v>1.0940000000000001</v>
      </c>
      <c r="C31" s="8">
        <f t="shared" si="17"/>
        <v>6.9603999999999999</v>
      </c>
      <c r="D31" s="8">
        <f t="shared" si="17"/>
        <v>8.0070999999999994</v>
      </c>
      <c r="E31" s="8">
        <f t="shared" si="17"/>
        <v>2.5100000000000001E-2</v>
      </c>
      <c r="F31" s="8">
        <f t="shared" si="17"/>
        <v>1.4263999999999999</v>
      </c>
      <c r="G31" s="8">
        <f t="shared" si="17"/>
        <v>0.16109999999999999</v>
      </c>
      <c r="H31" s="8">
        <f t="shared" si="17"/>
        <v>1.5874999999999999</v>
      </c>
      <c r="I31" s="8">
        <f t="shared" si="17"/>
        <v>0.3841</v>
      </c>
      <c r="J31" s="8">
        <f t="shared" si="17"/>
        <v>0.14979999999999999</v>
      </c>
      <c r="K31" s="8">
        <f t="shared" si="17"/>
        <v>0.53390000000000004</v>
      </c>
      <c r="L31" s="197">
        <f t="shared" si="17"/>
        <v>0</v>
      </c>
      <c r="M31" s="8">
        <f t="shared" si="17"/>
        <v>2306.2782999999999</v>
      </c>
      <c r="N31" s="8">
        <f t="shared" si="17"/>
        <v>2306.2782999999999</v>
      </c>
      <c r="O31" s="8">
        <f t="shared" si="17"/>
        <v>0.21870000000000001</v>
      </c>
      <c r="P31" s="8">
        <f t="shared" si="17"/>
        <v>0</v>
      </c>
      <c r="Q31" s="8">
        <f t="shared" si="17"/>
        <v>2311.7462</v>
      </c>
    </row>
    <row r="32" spans="1:17" ht="15.75" thickBot="1" x14ac:dyDescent="0.3"/>
    <row r="33" spans="1:17" ht="15.75" thickBot="1" x14ac:dyDescent="0.3">
      <c r="A33" s="366" t="s">
        <v>253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8"/>
    </row>
    <row r="34" spans="1:17" x14ac:dyDescent="0.25">
      <c r="A34" s="377" t="s">
        <v>239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9"/>
    </row>
    <row r="35" spans="1:17" ht="15.75" thickBot="1" x14ac:dyDescent="0.3">
      <c r="A35" s="380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2"/>
    </row>
    <row r="36" spans="1:17" ht="18.75" thickBot="1" x14ac:dyDescent="0.3">
      <c r="A36" s="192"/>
      <c r="B36" s="197" t="s">
        <v>233</v>
      </c>
      <c r="C36" s="8" t="s">
        <v>150</v>
      </c>
      <c r="D36" s="8" t="s">
        <v>143</v>
      </c>
      <c r="E36" s="8" t="s">
        <v>240</v>
      </c>
      <c r="F36" s="8" t="s">
        <v>241</v>
      </c>
      <c r="G36" s="8" t="s">
        <v>242</v>
      </c>
      <c r="H36" s="8" t="s">
        <v>243</v>
      </c>
      <c r="I36" s="8" t="s">
        <v>244</v>
      </c>
      <c r="J36" s="8" t="s">
        <v>245</v>
      </c>
      <c r="K36" s="207" t="s">
        <v>246</v>
      </c>
      <c r="L36" s="197" t="s">
        <v>247</v>
      </c>
      <c r="M36" s="8" t="s">
        <v>248</v>
      </c>
      <c r="N36" s="8" t="s">
        <v>249</v>
      </c>
      <c r="O36" s="8" t="s">
        <v>13</v>
      </c>
      <c r="P36" s="8" t="s">
        <v>14</v>
      </c>
      <c r="Q36" s="195" t="s">
        <v>250</v>
      </c>
    </row>
    <row r="37" spans="1:17" ht="15.75" thickBot="1" x14ac:dyDescent="0.3">
      <c r="A37" s="203" t="s">
        <v>234</v>
      </c>
      <c r="B37" s="369" t="s">
        <v>236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69" t="s">
        <v>237</v>
      </c>
      <c r="M37" s="370"/>
      <c r="N37" s="370"/>
      <c r="O37" s="370"/>
      <c r="P37" s="370"/>
      <c r="Q37" s="371"/>
    </row>
    <row r="38" spans="1:17" x14ac:dyDescent="0.25">
      <c r="A38" s="121">
        <v>2019</v>
      </c>
      <c r="B38" s="183">
        <f>B8+B22</f>
        <v>1.7494000000000001</v>
      </c>
      <c r="C38" s="184">
        <f t="shared" ref="C38:Q38" si="18">C8+C22</f>
        <v>12.9109</v>
      </c>
      <c r="D38" s="184">
        <f t="shared" si="18"/>
        <v>13.1769</v>
      </c>
      <c r="E38" s="184">
        <f t="shared" si="18"/>
        <v>3.9E-2</v>
      </c>
      <c r="F38" s="184">
        <f t="shared" si="18"/>
        <v>1.9383999999999999</v>
      </c>
      <c r="G38" s="184">
        <f t="shared" si="18"/>
        <v>0.3851</v>
      </c>
      <c r="H38" s="184">
        <f t="shared" si="18"/>
        <v>2.3235000000000001</v>
      </c>
      <c r="I38" s="184">
        <f t="shared" si="18"/>
        <v>0.51480000000000004</v>
      </c>
      <c r="J38" s="184">
        <f t="shared" si="18"/>
        <v>0.35660000000000003</v>
      </c>
      <c r="K38" s="181">
        <f t="shared" si="18"/>
        <v>0.87140000000000006</v>
      </c>
      <c r="L38" s="183">
        <f t="shared" si="18"/>
        <v>0</v>
      </c>
      <c r="M38" s="184">
        <f t="shared" si="18"/>
        <v>3574.4472999999998</v>
      </c>
      <c r="N38" s="184">
        <f t="shared" si="18"/>
        <v>3574.4472999999998</v>
      </c>
      <c r="O38" s="184">
        <f t="shared" si="18"/>
        <v>0.4274</v>
      </c>
      <c r="P38" s="184">
        <f t="shared" si="18"/>
        <v>0</v>
      </c>
      <c r="Q38" s="181">
        <f t="shared" si="18"/>
        <v>3585.1328999999996</v>
      </c>
    </row>
    <row r="39" spans="1:17" ht="15.75" thickBot="1" x14ac:dyDescent="0.3">
      <c r="A39" s="208">
        <v>2020</v>
      </c>
      <c r="B39" s="185">
        <v>9.0699999999999999E-3</v>
      </c>
      <c r="C39" s="186">
        <v>5.9700000000000003E-2</v>
      </c>
      <c r="D39" s="186">
        <v>7.0900000000000005E-2</v>
      </c>
      <c r="E39" s="186">
        <v>9.0000000000000006E-5</v>
      </c>
      <c r="F39" s="186">
        <v>0</v>
      </c>
      <c r="G39" s="186">
        <v>3.7699999999999999E-3</v>
      </c>
      <c r="H39" s="186">
        <v>3.7699999999999999E-3</v>
      </c>
      <c r="I39" s="186">
        <v>0</v>
      </c>
      <c r="J39" s="186">
        <v>3.47E-3</v>
      </c>
      <c r="K39" s="182">
        <v>3.47E-3</v>
      </c>
      <c r="L39" s="185">
        <v>0</v>
      </c>
      <c r="M39" s="186">
        <v>7.8212999999999999</v>
      </c>
      <c r="N39" s="186">
        <v>7.8212999999999999</v>
      </c>
      <c r="O39" s="186">
        <v>2.5300000000000001E-3</v>
      </c>
      <c r="P39" s="186">
        <v>0</v>
      </c>
      <c r="Q39" s="182">
        <v>7.8845000000000001</v>
      </c>
    </row>
    <row r="40" spans="1:17" ht="15.75" thickBot="1" x14ac:dyDescent="0.3">
      <c r="A40" s="84" t="s">
        <v>235</v>
      </c>
      <c r="B40" s="197">
        <f t="shared" ref="B40:Q40" si="19">MAX(B38:B39)</f>
        <v>1.7494000000000001</v>
      </c>
      <c r="C40" s="8">
        <f t="shared" si="19"/>
        <v>12.9109</v>
      </c>
      <c r="D40" s="8">
        <f t="shared" si="19"/>
        <v>13.1769</v>
      </c>
      <c r="E40" s="8">
        <f t="shared" si="19"/>
        <v>3.9E-2</v>
      </c>
      <c r="F40" s="8">
        <f t="shared" si="19"/>
        <v>1.9383999999999999</v>
      </c>
      <c r="G40" s="8">
        <f t="shared" si="19"/>
        <v>0.3851</v>
      </c>
      <c r="H40" s="8">
        <f t="shared" si="19"/>
        <v>2.3235000000000001</v>
      </c>
      <c r="I40" s="8">
        <f t="shared" si="19"/>
        <v>0.51480000000000004</v>
      </c>
      <c r="J40" s="8">
        <f t="shared" si="19"/>
        <v>0.35660000000000003</v>
      </c>
      <c r="K40" s="8">
        <f t="shared" si="19"/>
        <v>0.87140000000000006</v>
      </c>
      <c r="L40" s="197">
        <f t="shared" si="19"/>
        <v>0</v>
      </c>
      <c r="M40" s="8">
        <f t="shared" si="19"/>
        <v>3574.4472999999998</v>
      </c>
      <c r="N40" s="8">
        <f t="shared" si="19"/>
        <v>3574.4472999999998</v>
      </c>
      <c r="O40" s="8">
        <f t="shared" si="19"/>
        <v>0.4274</v>
      </c>
      <c r="P40" s="8">
        <f t="shared" si="19"/>
        <v>0</v>
      </c>
      <c r="Q40" s="199">
        <f t="shared" si="19"/>
        <v>3585.1328999999996</v>
      </c>
    </row>
    <row r="41" spans="1:17" x14ac:dyDescent="0.25">
      <c r="A41" s="377" t="s">
        <v>238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9"/>
    </row>
    <row r="42" spans="1:17" ht="15.75" thickBot="1" x14ac:dyDescent="0.3">
      <c r="A42" s="380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2"/>
    </row>
    <row r="43" spans="1:17" ht="18.75" thickBot="1" x14ac:dyDescent="0.3">
      <c r="A43" s="192"/>
      <c r="B43" s="197" t="s">
        <v>233</v>
      </c>
      <c r="C43" s="8" t="s">
        <v>150</v>
      </c>
      <c r="D43" s="8" t="s">
        <v>143</v>
      </c>
      <c r="E43" s="8" t="s">
        <v>240</v>
      </c>
      <c r="F43" s="8" t="s">
        <v>241</v>
      </c>
      <c r="G43" s="8" t="s">
        <v>242</v>
      </c>
      <c r="H43" s="8" t="s">
        <v>243</v>
      </c>
      <c r="I43" s="8" t="s">
        <v>244</v>
      </c>
      <c r="J43" s="8" t="s">
        <v>245</v>
      </c>
      <c r="K43" s="207" t="s">
        <v>246</v>
      </c>
      <c r="L43" s="197" t="s">
        <v>247</v>
      </c>
      <c r="M43" s="8" t="s">
        <v>248</v>
      </c>
      <c r="N43" s="8" t="s">
        <v>249</v>
      </c>
      <c r="O43" s="8" t="s">
        <v>13</v>
      </c>
      <c r="P43" s="8" t="s">
        <v>14</v>
      </c>
      <c r="Q43" s="195" t="s">
        <v>250</v>
      </c>
    </row>
    <row r="44" spans="1:17" ht="15.75" thickBot="1" x14ac:dyDescent="0.3">
      <c r="A44" s="203" t="s">
        <v>234</v>
      </c>
      <c r="B44" s="369" t="s">
        <v>236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69" t="s">
        <v>237</v>
      </c>
      <c r="M44" s="370"/>
      <c r="N44" s="370"/>
      <c r="O44" s="370"/>
      <c r="P44" s="370"/>
      <c r="Q44" s="371"/>
    </row>
    <row r="45" spans="1:17" x14ac:dyDescent="0.25">
      <c r="A45" s="121">
        <v>2019</v>
      </c>
      <c r="B45" s="183">
        <f>B14+B29</f>
        <v>1.7494000000000001</v>
      </c>
      <c r="C45" s="184">
        <f t="shared" ref="C45:Q45" si="20">C14+C29</f>
        <v>12.9109</v>
      </c>
      <c r="D45" s="184">
        <f t="shared" si="20"/>
        <v>13.1769</v>
      </c>
      <c r="E45" s="184">
        <f t="shared" si="20"/>
        <v>3.9E-2</v>
      </c>
      <c r="F45" s="184">
        <f t="shared" si="20"/>
        <v>1.9101999999999999</v>
      </c>
      <c r="G45" s="184">
        <f t="shared" si="20"/>
        <v>0.3851</v>
      </c>
      <c r="H45" s="184">
        <f t="shared" si="20"/>
        <v>2.2953999999999999</v>
      </c>
      <c r="I45" s="184">
        <f t="shared" si="20"/>
        <v>0.51170000000000004</v>
      </c>
      <c r="J45" s="184">
        <f t="shared" si="20"/>
        <v>0.35660000000000003</v>
      </c>
      <c r="K45" s="181">
        <f t="shared" si="20"/>
        <v>0.86830000000000007</v>
      </c>
      <c r="L45" s="183">
        <f t="shared" si="20"/>
        <v>0</v>
      </c>
      <c r="M45" s="184">
        <f t="shared" si="20"/>
        <v>3574.4463999999998</v>
      </c>
      <c r="N45" s="184">
        <f t="shared" si="20"/>
        <v>3574.4463999999998</v>
      </c>
      <c r="O45" s="184">
        <f t="shared" si="20"/>
        <v>0.4274</v>
      </c>
      <c r="P45" s="184">
        <f t="shared" si="20"/>
        <v>0</v>
      </c>
      <c r="Q45" s="181">
        <f t="shared" si="20"/>
        <v>3585.1319000000003</v>
      </c>
    </row>
    <row r="46" spans="1:17" ht="15.75" thickBot="1" x14ac:dyDescent="0.3">
      <c r="A46" s="208">
        <v>2020</v>
      </c>
      <c r="B46" s="185">
        <v>1.4400000000000001E-3</v>
      </c>
      <c r="C46" s="186">
        <v>2.0799999999999999E-2</v>
      </c>
      <c r="D46" s="186">
        <v>6.7299999999999999E-2</v>
      </c>
      <c r="E46" s="186">
        <v>9.0000000000000006E-5</v>
      </c>
      <c r="F46" s="186">
        <v>0</v>
      </c>
      <c r="G46" s="186">
        <v>1.3999999999999999E-4</v>
      </c>
      <c r="H46" s="186">
        <v>1.3999999999999999E-4</v>
      </c>
      <c r="I46" s="186">
        <v>0</v>
      </c>
      <c r="J46" s="186">
        <v>1.3999999999999999E-4</v>
      </c>
      <c r="K46" s="182">
        <v>1.3999999999999999E-4</v>
      </c>
      <c r="L46" s="185">
        <v>0</v>
      </c>
      <c r="M46" s="186">
        <v>7.8212999999999999</v>
      </c>
      <c r="N46" s="186">
        <v>7.8212999999999999</v>
      </c>
      <c r="O46" s="186">
        <v>2.5300000000000001E-3</v>
      </c>
      <c r="P46" s="186">
        <v>0</v>
      </c>
      <c r="Q46" s="182">
        <v>7.8845000000000001</v>
      </c>
    </row>
    <row r="47" spans="1:17" ht="15.75" thickBot="1" x14ac:dyDescent="0.3">
      <c r="A47" s="84" t="s">
        <v>235</v>
      </c>
      <c r="B47" s="197">
        <f t="shared" ref="B47:Q47" si="21">MAX(B45:B46)</f>
        <v>1.7494000000000001</v>
      </c>
      <c r="C47" s="8">
        <f t="shared" si="21"/>
        <v>12.9109</v>
      </c>
      <c r="D47" s="8">
        <f t="shared" si="21"/>
        <v>13.1769</v>
      </c>
      <c r="E47" s="8">
        <f t="shared" si="21"/>
        <v>3.9E-2</v>
      </c>
      <c r="F47" s="8">
        <f t="shared" si="21"/>
        <v>1.9101999999999999</v>
      </c>
      <c r="G47" s="8">
        <f t="shared" si="21"/>
        <v>0.3851</v>
      </c>
      <c r="H47" s="8">
        <f t="shared" si="21"/>
        <v>2.2953999999999999</v>
      </c>
      <c r="I47" s="8">
        <f t="shared" si="21"/>
        <v>0.51170000000000004</v>
      </c>
      <c r="J47" s="8">
        <f t="shared" si="21"/>
        <v>0.35660000000000003</v>
      </c>
      <c r="K47" s="8">
        <f t="shared" si="21"/>
        <v>0.86830000000000007</v>
      </c>
      <c r="L47" s="197">
        <f t="shared" si="21"/>
        <v>0</v>
      </c>
      <c r="M47" s="8">
        <f t="shared" si="21"/>
        <v>3574.4463999999998</v>
      </c>
      <c r="N47" s="8">
        <f t="shared" si="21"/>
        <v>3574.4463999999998</v>
      </c>
      <c r="O47" s="8">
        <f t="shared" si="21"/>
        <v>0.4274</v>
      </c>
      <c r="P47" s="8">
        <f t="shared" si="21"/>
        <v>0</v>
      </c>
      <c r="Q47" s="199">
        <f t="shared" si="21"/>
        <v>3585.1319000000003</v>
      </c>
    </row>
    <row r="48" spans="1:17" ht="15.75" thickBot="1" x14ac:dyDescent="0.3">
      <c r="A48" s="4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8"/>
    </row>
    <row r="49" spans="1:17" ht="18.75" thickBot="1" x14ac:dyDescent="0.3">
      <c r="A49" s="41"/>
      <c r="B49" s="197" t="s">
        <v>233</v>
      </c>
      <c r="C49" s="8" t="s">
        <v>150</v>
      </c>
      <c r="D49" s="8" t="s">
        <v>143</v>
      </c>
      <c r="E49" s="8" t="s">
        <v>240</v>
      </c>
      <c r="F49" s="8" t="s">
        <v>241</v>
      </c>
      <c r="G49" s="8" t="s">
        <v>242</v>
      </c>
      <c r="H49" s="8" t="s">
        <v>243</v>
      </c>
      <c r="I49" s="8" t="s">
        <v>244</v>
      </c>
      <c r="J49" s="8" t="s">
        <v>245</v>
      </c>
      <c r="K49" s="8" t="s">
        <v>246</v>
      </c>
      <c r="L49" s="8" t="s">
        <v>247</v>
      </c>
      <c r="M49" s="8" t="s">
        <v>248</v>
      </c>
      <c r="N49" s="8" t="s">
        <v>249</v>
      </c>
      <c r="O49" s="8" t="s">
        <v>13</v>
      </c>
      <c r="P49" s="8" t="s">
        <v>14</v>
      </c>
      <c r="Q49" s="199" t="s">
        <v>250</v>
      </c>
    </row>
    <row r="50" spans="1:17" ht="51" customHeight="1" thickBot="1" x14ac:dyDescent="0.3">
      <c r="A50" s="22" t="s">
        <v>251</v>
      </c>
      <c r="B50" s="209">
        <f>IF(B40=0,0,(B40-B47)/(B40)*100)</f>
        <v>0</v>
      </c>
      <c r="C50" s="210">
        <f t="shared" ref="C50:Q50" si="22">IF(C40=0,0,(C40-C47)/(C40)*100)</f>
        <v>0</v>
      </c>
      <c r="D50" s="210">
        <f t="shared" si="22"/>
        <v>0</v>
      </c>
      <c r="E50" s="210">
        <f t="shared" si="22"/>
        <v>0</v>
      </c>
      <c r="F50" s="210">
        <f t="shared" si="22"/>
        <v>1.4548080891456874</v>
      </c>
      <c r="G50" s="210">
        <f t="shared" si="22"/>
        <v>0</v>
      </c>
      <c r="H50" s="210">
        <f t="shared" si="22"/>
        <v>1.2093823972455449</v>
      </c>
      <c r="I50" s="210">
        <f t="shared" si="22"/>
        <v>0.60217560217560051</v>
      </c>
      <c r="J50" s="210">
        <f t="shared" si="22"/>
        <v>0</v>
      </c>
      <c r="K50" s="210">
        <f t="shared" si="22"/>
        <v>0.355749368831764</v>
      </c>
      <c r="L50" s="210">
        <f t="shared" si="22"/>
        <v>0</v>
      </c>
      <c r="M50" s="210">
        <f t="shared" si="22"/>
        <v>2.5178717839858913E-5</v>
      </c>
      <c r="N50" s="210">
        <f t="shared" si="22"/>
        <v>2.5178717839858913E-5</v>
      </c>
      <c r="O50" s="210">
        <f t="shared" si="22"/>
        <v>0</v>
      </c>
      <c r="P50" s="210">
        <f t="shared" si="22"/>
        <v>0</v>
      </c>
      <c r="Q50" s="211">
        <f t="shared" si="22"/>
        <v>2.7892968745851295E-5</v>
      </c>
    </row>
  </sheetData>
  <mergeCells count="22">
    <mergeCell ref="A1:Q2"/>
    <mergeCell ref="B37:K37"/>
    <mergeCell ref="L37:Q37"/>
    <mergeCell ref="B44:K44"/>
    <mergeCell ref="L44:Q44"/>
    <mergeCell ref="A10:Q11"/>
    <mergeCell ref="A4:Q5"/>
    <mergeCell ref="A18:Q19"/>
    <mergeCell ref="A25:Q26"/>
    <mergeCell ref="A34:Q35"/>
    <mergeCell ref="A41:Q42"/>
    <mergeCell ref="A17:Q17"/>
    <mergeCell ref="B21:K21"/>
    <mergeCell ref="L21:Q21"/>
    <mergeCell ref="B28:K28"/>
    <mergeCell ref="L28:Q28"/>
    <mergeCell ref="A33:Q33"/>
    <mergeCell ref="B7:K7"/>
    <mergeCell ref="L7:Q7"/>
    <mergeCell ref="A3:Q3"/>
    <mergeCell ref="L13:Q13"/>
    <mergeCell ref="B13:K13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58"/>
  <sheetViews>
    <sheetView zoomScaleNormal="100" workbookViewId="0">
      <selection activeCell="J5" sqref="J5"/>
    </sheetView>
  </sheetViews>
  <sheetFormatPr defaultRowHeight="15" x14ac:dyDescent="0.25"/>
  <cols>
    <col min="1" max="1" width="13.5703125" customWidth="1"/>
    <col min="3" max="3" width="13.28515625" customWidth="1"/>
    <col min="4" max="9" width="14.140625" customWidth="1"/>
    <col min="10" max="10" width="14.7109375" customWidth="1"/>
    <col min="13" max="13" width="15.5703125" customWidth="1"/>
    <col min="14" max="14" width="14.140625" customWidth="1"/>
  </cols>
  <sheetData>
    <row r="1" spans="1:16" ht="30" customHeight="1" thickBot="1" x14ac:dyDescent="0.3">
      <c r="A1" s="252" t="s">
        <v>274</v>
      </c>
    </row>
    <row r="2" spans="1:16" ht="18" thickBot="1" x14ac:dyDescent="0.3">
      <c r="A2" s="417" t="s">
        <v>282</v>
      </c>
      <c r="B2" s="418"/>
      <c r="C2" s="418"/>
      <c r="D2" s="418"/>
      <c r="E2" s="418"/>
      <c r="F2" s="418"/>
      <c r="G2" s="418"/>
      <c r="H2" s="419"/>
      <c r="K2" s="417" t="s">
        <v>189</v>
      </c>
      <c r="L2" s="418"/>
      <c r="M2" s="418"/>
      <c r="N2" s="419"/>
    </row>
    <row r="3" spans="1:16" ht="94.5" customHeight="1" thickBot="1" x14ac:dyDescent="0.3">
      <c r="A3" s="426" t="s">
        <v>124</v>
      </c>
      <c r="B3" s="427"/>
      <c r="C3" s="427"/>
      <c r="D3" s="166" t="s">
        <v>125</v>
      </c>
      <c r="E3" s="166" t="s">
        <v>125</v>
      </c>
      <c r="F3" s="166" t="s">
        <v>126</v>
      </c>
      <c r="G3" s="166" t="s">
        <v>126</v>
      </c>
      <c r="H3" s="167" t="s">
        <v>230</v>
      </c>
      <c r="K3" s="426" t="s">
        <v>190</v>
      </c>
      <c r="L3" s="427"/>
      <c r="M3" s="427"/>
      <c r="N3" s="213" t="s">
        <v>191</v>
      </c>
    </row>
    <row r="4" spans="1:16" x14ac:dyDescent="0.25">
      <c r="A4" s="388" t="s">
        <v>72</v>
      </c>
      <c r="B4" s="389"/>
      <c r="C4" s="389"/>
      <c r="D4" s="60">
        <v>300</v>
      </c>
      <c r="E4" s="60">
        <v>300</v>
      </c>
      <c r="F4" s="60">
        <v>50</v>
      </c>
      <c r="G4" s="60">
        <v>50</v>
      </c>
      <c r="H4" s="63">
        <f>CONVERT(H5,"kw","HP")</f>
        <v>670.51104479751393</v>
      </c>
      <c r="K4" s="388" t="s">
        <v>202</v>
      </c>
      <c r="L4" s="389"/>
      <c r="M4" s="389"/>
      <c r="N4" s="169">
        <v>124</v>
      </c>
    </row>
    <row r="5" spans="1:16" x14ac:dyDescent="0.25">
      <c r="A5" s="390" t="s">
        <v>73</v>
      </c>
      <c r="B5" s="391"/>
      <c r="C5" s="391"/>
      <c r="D5" s="63">
        <f>CONVERT(D4,"HP","kW")</f>
        <v>223.70996147468108</v>
      </c>
      <c r="E5" s="63">
        <f>CONVERT(E4,"HP","kW")</f>
        <v>223.70996147468108</v>
      </c>
      <c r="F5" s="63">
        <f>CONVERT(F4,"HP","kW")</f>
        <v>37.284993579113518</v>
      </c>
      <c r="G5" s="63">
        <f>CONVERT(G4,"HP","kW")</f>
        <v>37.284993579113518</v>
      </c>
      <c r="H5" s="60">
        <v>500</v>
      </c>
      <c r="K5" s="390" t="s">
        <v>203</v>
      </c>
      <c r="L5" s="391"/>
      <c r="M5" s="391"/>
      <c r="N5" s="144">
        <v>365</v>
      </c>
    </row>
    <row r="6" spans="1:16" x14ac:dyDescent="0.25">
      <c r="A6" s="390" t="s">
        <v>74</v>
      </c>
      <c r="B6" s="391"/>
      <c r="C6" s="391"/>
      <c r="D6" s="61">
        <v>0.32</v>
      </c>
      <c r="E6" s="61">
        <v>0.32</v>
      </c>
      <c r="F6" s="61">
        <v>0.37</v>
      </c>
      <c r="G6" s="61">
        <v>0.37</v>
      </c>
      <c r="H6" s="64">
        <v>0.33</v>
      </c>
      <c r="I6" s="163"/>
      <c r="K6" s="390" t="s">
        <v>211</v>
      </c>
      <c r="L6" s="391"/>
      <c r="M6" s="391"/>
      <c r="N6" s="144">
        <v>22.2</v>
      </c>
    </row>
    <row r="7" spans="1:16" ht="18" thickBot="1" x14ac:dyDescent="0.3">
      <c r="A7" s="390" t="s">
        <v>128</v>
      </c>
      <c r="B7" s="391"/>
      <c r="C7" s="392"/>
      <c r="D7" s="428">
        <v>6.9429999999999996</v>
      </c>
      <c r="E7" s="429"/>
      <c r="F7" s="429"/>
      <c r="G7" s="429"/>
      <c r="H7" s="430"/>
      <c r="I7" s="163"/>
      <c r="K7" s="398" t="s">
        <v>212</v>
      </c>
      <c r="L7" s="399"/>
      <c r="M7" s="399"/>
      <c r="N7" s="179">
        <v>2</v>
      </c>
    </row>
    <row r="8" spans="1:16" ht="18" thickBot="1" x14ac:dyDescent="0.3">
      <c r="A8" s="390" t="s">
        <v>75</v>
      </c>
      <c r="B8" s="391"/>
      <c r="C8" s="391"/>
      <c r="D8" s="62">
        <v>13.8</v>
      </c>
      <c r="E8" s="62">
        <v>13.8</v>
      </c>
      <c r="F8" s="62">
        <v>2.7</v>
      </c>
      <c r="G8" s="62">
        <v>2.7</v>
      </c>
      <c r="H8" s="295">
        <f>H6/D7*H4</f>
        <v>31.869313666020396</v>
      </c>
      <c r="I8" s="163"/>
      <c r="K8" s="383" t="s">
        <v>228</v>
      </c>
      <c r="L8" s="384"/>
      <c r="M8" s="384"/>
      <c r="N8" s="385"/>
      <c r="O8" s="450" t="s">
        <v>213</v>
      </c>
      <c r="P8" s="451"/>
    </row>
    <row r="9" spans="1:16" ht="18" thickBot="1" x14ac:dyDescent="0.3">
      <c r="A9" s="390" t="s">
        <v>179</v>
      </c>
      <c r="B9" s="391"/>
      <c r="C9" s="391"/>
      <c r="D9" s="420">
        <v>0.13800000000000001</v>
      </c>
      <c r="E9" s="421"/>
      <c r="F9" s="421"/>
      <c r="G9" s="421"/>
      <c r="H9" s="422"/>
      <c r="I9" s="163"/>
      <c r="K9" s="452" t="s">
        <v>296</v>
      </c>
      <c r="L9" s="453" t="s">
        <v>292</v>
      </c>
      <c r="M9" s="453" t="s">
        <v>292</v>
      </c>
      <c r="N9" s="289">
        <v>4.5538337653436498E-2</v>
      </c>
      <c r="O9" s="137">
        <f>CONVERT(N9*$N$4,"g","lbm")*$N$6</f>
        <v>0.27636694129660955</v>
      </c>
      <c r="P9" s="37" t="s">
        <v>210</v>
      </c>
    </row>
    <row r="10" spans="1:16" ht="15.75" thickBot="1" x14ac:dyDescent="0.3">
      <c r="A10" s="383" t="s">
        <v>290</v>
      </c>
      <c r="B10" s="384"/>
      <c r="C10" s="384"/>
      <c r="D10" s="384"/>
      <c r="E10" s="384"/>
      <c r="F10" s="384"/>
      <c r="G10" s="384"/>
      <c r="H10" s="385"/>
      <c r="I10" s="163"/>
      <c r="K10" s="446" t="s">
        <v>297</v>
      </c>
      <c r="L10" s="447" t="s">
        <v>293</v>
      </c>
      <c r="M10" s="447" t="s">
        <v>293</v>
      </c>
      <c r="N10" s="294">
        <v>3.3949949738670299E-2</v>
      </c>
      <c r="O10" s="176">
        <f>CONVERT(N10*$N$6,"g","lbm")</f>
        <v>1.6615995639399324E-3</v>
      </c>
      <c r="P10" s="177" t="s">
        <v>210</v>
      </c>
    </row>
    <row r="11" spans="1:16" ht="18.75" x14ac:dyDescent="0.35">
      <c r="A11" s="390" t="s">
        <v>287</v>
      </c>
      <c r="B11" s="391"/>
      <c r="C11" s="392"/>
      <c r="D11" s="352">
        <v>0.27</v>
      </c>
      <c r="E11" s="431"/>
      <c r="F11" s="352">
        <v>0</v>
      </c>
      <c r="G11" s="362"/>
      <c r="H11" s="296">
        <v>0.34</v>
      </c>
      <c r="I11" s="163"/>
      <c r="K11" s="444" t="s">
        <v>298</v>
      </c>
      <c r="L11" s="445" t="s">
        <v>294</v>
      </c>
      <c r="M11" s="445" t="s">
        <v>294</v>
      </c>
      <c r="N11" s="290">
        <v>5.1841930981490397E-2</v>
      </c>
      <c r="O11" s="41">
        <f>CONVERT(N11*$N$4,"g","lbm")*$N$6</f>
        <v>0.31462272525846663</v>
      </c>
      <c r="P11" s="28" t="s">
        <v>210</v>
      </c>
    </row>
    <row r="12" spans="1:16" ht="18" thickBot="1" x14ac:dyDescent="0.3">
      <c r="A12" s="390" t="s">
        <v>288</v>
      </c>
      <c r="B12" s="391"/>
      <c r="C12" s="392"/>
      <c r="D12" s="414">
        <v>0.2</v>
      </c>
      <c r="E12" s="416"/>
      <c r="F12" s="414">
        <v>1.6</v>
      </c>
      <c r="G12" s="415"/>
      <c r="H12" s="297">
        <v>0.02</v>
      </c>
      <c r="I12" s="163"/>
      <c r="K12" s="442" t="s">
        <v>299</v>
      </c>
      <c r="L12" s="443" t="s">
        <v>295</v>
      </c>
      <c r="M12" s="443" t="s">
        <v>295</v>
      </c>
      <c r="N12" s="291">
        <v>3.8649433463551097E-2</v>
      </c>
      <c r="O12" s="44">
        <f>CONVERT(N12*$N$6,"g","lbm")</f>
        <v>1.891604620445521E-3</v>
      </c>
      <c r="P12" s="174" t="s">
        <v>210</v>
      </c>
    </row>
    <row r="13" spans="1:16" ht="17.25" x14ac:dyDescent="0.25">
      <c r="A13" s="390" t="s">
        <v>289</v>
      </c>
      <c r="B13" s="391"/>
      <c r="C13" s="392"/>
      <c r="D13" s="414">
        <v>0.02</v>
      </c>
      <c r="E13" s="416"/>
      <c r="F13" s="414">
        <v>0.02</v>
      </c>
      <c r="G13" s="415"/>
      <c r="H13" s="297">
        <v>0.01</v>
      </c>
      <c r="I13" s="163"/>
      <c r="K13" s="432" t="s">
        <v>192</v>
      </c>
      <c r="L13" s="433"/>
      <c r="M13" s="433"/>
      <c r="N13" s="292">
        <v>0.16960116693546401</v>
      </c>
      <c r="O13" s="137">
        <f>CONVERT(N13*$N$4,"g","lbm")*$N$6</f>
        <v>1.0292900040182451</v>
      </c>
      <c r="P13" s="37" t="s">
        <v>210</v>
      </c>
    </row>
    <row r="14" spans="1:16" x14ac:dyDescent="0.25">
      <c r="A14" s="390" t="s">
        <v>300</v>
      </c>
      <c r="B14" s="391"/>
      <c r="C14" s="392"/>
      <c r="D14" s="393">
        <v>0.01</v>
      </c>
      <c r="E14" s="397"/>
      <c r="F14" s="393">
        <v>0</v>
      </c>
      <c r="G14" s="394"/>
      <c r="H14" s="297">
        <v>0.02</v>
      </c>
      <c r="I14" s="163"/>
      <c r="K14" s="386" t="s">
        <v>215</v>
      </c>
      <c r="L14" s="387"/>
      <c r="M14" s="387"/>
      <c r="N14" s="171">
        <v>0.27830405952166398</v>
      </c>
      <c r="O14" s="176">
        <f>CONVERT(N14*$N$6,"g","lbm")</f>
        <v>1.362093044329855E-2</v>
      </c>
      <c r="P14" s="177" t="s">
        <v>210</v>
      </c>
    </row>
    <row r="15" spans="1:16" ht="17.25" x14ac:dyDescent="0.25">
      <c r="A15" s="390" t="s">
        <v>301</v>
      </c>
      <c r="B15" s="391"/>
      <c r="C15" s="392"/>
      <c r="D15" s="395">
        <f>D14*1.053/0.984</f>
        <v>1.0701219512195121E-2</v>
      </c>
      <c r="E15" s="396"/>
      <c r="F15" s="393">
        <f>F14*1.053/0.984</f>
        <v>0</v>
      </c>
      <c r="G15" s="397"/>
      <c r="H15" s="298">
        <f>H14*1.053/0.984</f>
        <v>2.1402439024390242E-2</v>
      </c>
      <c r="I15" s="299"/>
      <c r="K15" s="436" t="s">
        <v>193</v>
      </c>
      <c r="L15" s="437"/>
      <c r="M15" s="437"/>
      <c r="N15" s="293">
        <v>2.2387891649835501</v>
      </c>
      <c r="O15" s="175">
        <f>CONVERT(N15*$N$4,"g","lbm")*$N$6</f>
        <v>13.586954325018114</v>
      </c>
      <c r="P15" s="178" t="s">
        <v>210</v>
      </c>
    </row>
    <row r="16" spans="1:16" ht="18.75" x14ac:dyDescent="0.35">
      <c r="A16" s="390" t="s">
        <v>283</v>
      </c>
      <c r="B16" s="391"/>
      <c r="C16" s="392"/>
      <c r="D16" s="411">
        <v>15</v>
      </c>
      <c r="E16" s="412"/>
      <c r="F16" s="412"/>
      <c r="G16" s="412"/>
      <c r="H16" s="413"/>
      <c r="I16" s="163"/>
      <c r="K16" s="386" t="s">
        <v>216</v>
      </c>
      <c r="L16" s="387"/>
      <c r="M16" s="387"/>
      <c r="N16" s="171">
        <v>4.55803237750506</v>
      </c>
      <c r="O16" s="176">
        <f>CONVERT(N16*$N$6,"g","lbm")</f>
        <v>0.22308205665058328</v>
      </c>
      <c r="P16" s="177" t="s">
        <v>210</v>
      </c>
    </row>
    <row r="17" spans="1:16" ht="18.75" x14ac:dyDescent="0.35">
      <c r="A17" s="390" t="s">
        <v>284</v>
      </c>
      <c r="B17" s="391"/>
      <c r="C17" s="392"/>
      <c r="D17" s="411">
        <v>73.959999999999994</v>
      </c>
      <c r="E17" s="412"/>
      <c r="F17" s="412"/>
      <c r="G17" s="412"/>
      <c r="H17" s="413"/>
      <c r="I17" s="163"/>
      <c r="K17" s="436" t="s">
        <v>194</v>
      </c>
      <c r="L17" s="437"/>
      <c r="M17" s="437"/>
      <c r="N17" s="293">
        <v>1092.41832877665</v>
      </c>
      <c r="O17" s="175">
        <f>CONVERT(N17*$N$4,"g","lbm")*$N$6</f>
        <v>6629.7613768423007</v>
      </c>
      <c r="P17" s="178" t="s">
        <v>210</v>
      </c>
    </row>
    <row r="18" spans="1:16" ht="18.75" x14ac:dyDescent="0.35">
      <c r="A18" s="390" t="s">
        <v>285</v>
      </c>
      <c r="B18" s="391"/>
      <c r="C18" s="392"/>
      <c r="D18" s="411">
        <v>3.0000000000000001E-3</v>
      </c>
      <c r="E18" s="412"/>
      <c r="F18" s="412"/>
      <c r="G18" s="412"/>
      <c r="H18" s="413"/>
      <c r="I18" s="163"/>
      <c r="K18" s="386" t="s">
        <v>217</v>
      </c>
      <c r="L18" s="387"/>
      <c r="M18" s="387"/>
      <c r="N18" s="171">
        <v>703.95830869706595</v>
      </c>
      <c r="O18" s="176">
        <f>CONVERT(N18*$N$6,"g","lbm")</f>
        <v>34.453565550661409</v>
      </c>
      <c r="P18" s="177" t="s">
        <v>210</v>
      </c>
    </row>
    <row r="19" spans="1:16" ht="19.5" thickBot="1" x14ac:dyDescent="0.4">
      <c r="A19" s="390" t="s">
        <v>286</v>
      </c>
      <c r="B19" s="391"/>
      <c r="C19" s="392"/>
      <c r="D19" s="423">
        <v>5.9999999999999995E-4</v>
      </c>
      <c r="E19" s="424"/>
      <c r="F19" s="424"/>
      <c r="G19" s="424"/>
      <c r="H19" s="425"/>
      <c r="I19" s="163"/>
      <c r="K19" s="436" t="s">
        <v>195</v>
      </c>
      <c r="L19" s="437"/>
      <c r="M19" s="437"/>
      <c r="N19" s="293">
        <v>1.17346126543182E-2</v>
      </c>
      <c r="O19" s="175">
        <f>CONVERT(N19*$N$4,"g","lbm")*$N$6</f>
        <v>7.1216016518988498E-2</v>
      </c>
      <c r="P19" s="178" t="s">
        <v>210</v>
      </c>
    </row>
    <row r="20" spans="1:16" ht="15.75" thickBot="1" x14ac:dyDescent="0.3">
      <c r="A20" s="383" t="s">
        <v>130</v>
      </c>
      <c r="B20" s="384"/>
      <c r="C20" s="384"/>
      <c r="D20" s="384"/>
      <c r="E20" s="384"/>
      <c r="F20" s="384"/>
      <c r="G20" s="384"/>
      <c r="H20" s="385"/>
      <c r="I20" s="163"/>
      <c r="K20" s="386" t="s">
        <v>218</v>
      </c>
      <c r="L20" s="387"/>
      <c r="M20" s="387"/>
      <c r="N20" s="171">
        <v>1.4230384616689001E-3</v>
      </c>
      <c r="O20" s="176">
        <f>CONVERT(N20*$N$6,"g","lbm")</f>
        <v>6.9647233812706276E-5</v>
      </c>
      <c r="P20" s="177" t="s">
        <v>210</v>
      </c>
    </row>
    <row r="21" spans="1:16" ht="18" customHeight="1" x14ac:dyDescent="0.35">
      <c r="A21" s="390" t="s">
        <v>131</v>
      </c>
      <c r="B21" s="391"/>
      <c r="C21" s="391"/>
      <c r="D21" s="138">
        <f>CONVERT($D$5*$D11,"g","lbm")</f>
        <v>0.13316293128600001</v>
      </c>
      <c r="E21" s="138">
        <f>CONVERT(E5*$D$11,"g","lbm")</f>
        <v>0.13316293128600001</v>
      </c>
      <c r="F21" s="138">
        <f>CONVERT(F5*$F$11,"g","lbm")</f>
        <v>0</v>
      </c>
      <c r="G21" s="138">
        <f>CONVERT(G5*$F$11,"g","lbm")</f>
        <v>0</v>
      </c>
      <c r="H21" s="165">
        <f>CONVERT(H5*$H$11,"g","lbm")</f>
        <v>0.37478584571429185</v>
      </c>
      <c r="I21" s="407" t="s">
        <v>137</v>
      </c>
      <c r="K21" s="440" t="s">
        <v>198</v>
      </c>
      <c r="L21" s="441"/>
      <c r="M21" s="441"/>
      <c r="N21" s="172">
        <v>1.2000003439211201E-2</v>
      </c>
      <c r="O21" s="175">
        <f>N21*$N$7*$N$6</f>
        <v>0.53280015270097725</v>
      </c>
      <c r="P21" s="178" t="s">
        <v>210</v>
      </c>
    </row>
    <row r="22" spans="1:16" x14ac:dyDescent="0.25">
      <c r="A22" s="390" t="s">
        <v>132</v>
      </c>
      <c r="B22" s="391"/>
      <c r="C22" s="391"/>
      <c r="D22" s="138">
        <f>CONVERT(D5*$D$12,"g","lbm")</f>
        <v>9.8639208360000008E-2</v>
      </c>
      <c r="E22" s="138">
        <f>CONVERT(E5*$D$12,"g","lbm")</f>
        <v>9.8639208360000008E-2</v>
      </c>
      <c r="F22" s="138">
        <f>CONVERT(F5*$F$12,"g","lbm")</f>
        <v>0.13151894448000001</v>
      </c>
      <c r="G22" s="138">
        <f>CONVERT(G5*$F$12,"g","lbm")</f>
        <v>0.13151894448000001</v>
      </c>
      <c r="H22" s="140">
        <f>CONVERT(H5*$H$12,"g","lbm")</f>
        <v>2.2046226218487758E-2</v>
      </c>
      <c r="I22" s="408"/>
      <c r="K22" s="438" t="s">
        <v>199</v>
      </c>
      <c r="L22" s="439"/>
      <c r="M22" s="439"/>
      <c r="N22" s="173">
        <v>0.13034003735556601</v>
      </c>
      <c r="O22" s="176">
        <f>N22*$N$7*$N$6</f>
        <v>5.7870976585871308</v>
      </c>
      <c r="P22" s="177" t="s">
        <v>210</v>
      </c>
    </row>
    <row r="23" spans="1:16" ht="18" x14ac:dyDescent="0.35">
      <c r="A23" s="390" t="s">
        <v>133</v>
      </c>
      <c r="B23" s="391"/>
      <c r="C23" s="391"/>
      <c r="D23" s="76">
        <f>D8*$D$16*0.000001</f>
        <v>2.0699999999999999E-4</v>
      </c>
      <c r="E23" s="76">
        <f>E8*$D$16*0.000001</f>
        <v>2.0699999999999999E-4</v>
      </c>
      <c r="F23" s="76">
        <f>F8*$D$16*0.000001</f>
        <v>4.0499999999999995E-5</v>
      </c>
      <c r="G23" s="76">
        <f>G8*$D$16*0.000001</f>
        <v>4.0499999999999995E-5</v>
      </c>
      <c r="H23" s="141">
        <f>H8*$D$16*0.000001</f>
        <v>4.7803970499030591E-4</v>
      </c>
      <c r="I23" s="408"/>
      <c r="K23" s="436" t="s">
        <v>196</v>
      </c>
      <c r="L23" s="437"/>
      <c r="M23" s="437"/>
      <c r="N23" s="293">
        <v>1.12269785052884E-2</v>
      </c>
      <c r="O23" s="175">
        <f>CONVERT(N23*$N$4,"g","lbm")*$N$6</f>
        <v>6.8135243168569837E-2</v>
      </c>
      <c r="P23" s="178" t="s">
        <v>210</v>
      </c>
    </row>
    <row r="24" spans="1:16" ht="18" x14ac:dyDescent="0.35">
      <c r="A24" s="390" t="s">
        <v>134</v>
      </c>
      <c r="B24" s="391"/>
      <c r="C24" s="391"/>
      <c r="D24" s="76">
        <f>$D$13*D8</f>
        <v>0.27600000000000002</v>
      </c>
      <c r="E24" s="76">
        <f>$D$13*E8</f>
        <v>0.27600000000000002</v>
      </c>
      <c r="F24" s="76">
        <f>$F$13*F8</f>
        <v>5.4000000000000006E-2</v>
      </c>
      <c r="G24" s="76">
        <f>$F$13*G8</f>
        <v>5.4000000000000006E-2</v>
      </c>
      <c r="H24" s="141">
        <f>$H$13*H8</f>
        <v>0.31869313666020399</v>
      </c>
      <c r="I24" s="408"/>
      <c r="K24" s="386" t="s">
        <v>219</v>
      </c>
      <c r="L24" s="387"/>
      <c r="M24" s="387"/>
      <c r="N24" s="171">
        <v>1.3614784477335199E-3</v>
      </c>
      <c r="O24" s="176">
        <f>CONVERT(N24*$N$6,"g","lbm")</f>
        <v>6.6634325307729796E-5</v>
      </c>
      <c r="P24" s="177" t="s">
        <v>210</v>
      </c>
    </row>
    <row r="25" spans="1:16" ht="18" x14ac:dyDescent="0.35">
      <c r="A25" s="390" t="s">
        <v>135</v>
      </c>
      <c r="B25" s="391"/>
      <c r="C25" s="391"/>
      <c r="D25" s="76">
        <f>D24*0.15</f>
        <v>4.1399999999999999E-2</v>
      </c>
      <c r="E25" s="75">
        <f>E24*0.15</f>
        <v>4.1399999999999999E-2</v>
      </c>
      <c r="F25" s="75">
        <f>F24*0.15</f>
        <v>8.1000000000000013E-3</v>
      </c>
      <c r="G25" s="75">
        <f>G24*0.15</f>
        <v>8.1000000000000013E-3</v>
      </c>
      <c r="H25" s="142">
        <f>H24*0.15</f>
        <v>4.7803970499030596E-2</v>
      </c>
      <c r="I25" s="408"/>
      <c r="J25" s="72"/>
      <c r="K25" s="440" t="s">
        <v>200</v>
      </c>
      <c r="L25" s="441"/>
      <c r="M25" s="441"/>
      <c r="N25" s="172">
        <v>3.0000008598028201E-3</v>
      </c>
      <c r="O25" s="175">
        <f>N25*$N$7*$N$6</f>
        <v>0.1332000381752452</v>
      </c>
      <c r="P25" s="178" t="s">
        <v>210</v>
      </c>
    </row>
    <row r="26" spans="1:16" ht="15.75" thickBot="1" x14ac:dyDescent="0.3">
      <c r="A26" s="398" t="s">
        <v>303</v>
      </c>
      <c r="B26" s="399"/>
      <c r="C26" s="400"/>
      <c r="D26" s="138">
        <f>CONVERT(D5*D15,"g","lbm")</f>
        <v>5.2777991058475613E-3</v>
      </c>
      <c r="E26" s="138">
        <f>CONVERT(E5*D15,"g","lbm")</f>
        <v>5.2777991058475613E-3</v>
      </c>
      <c r="F26" s="138">
        <f>CONVERT(F5*F15,"g","lbm")</f>
        <v>0</v>
      </c>
      <c r="G26" s="138">
        <f>CONVERT(G5*F15,"g","lbm")</f>
        <v>0</v>
      </c>
      <c r="H26" s="315">
        <f>CONVERT(H5*H15,"g","lbm")</f>
        <v>2.3592150617954888E-2</v>
      </c>
      <c r="I26" s="409"/>
      <c r="J26" s="72"/>
      <c r="K26" s="438" t="s">
        <v>201</v>
      </c>
      <c r="L26" s="439"/>
      <c r="M26" s="439"/>
      <c r="N26" s="173">
        <v>5.5860016009528501E-2</v>
      </c>
      <c r="O26" s="176">
        <f>N26*$N$7*$N$6</f>
        <v>2.4801847108230652</v>
      </c>
      <c r="P26" s="177" t="s">
        <v>210</v>
      </c>
    </row>
    <row r="27" spans="1:16" ht="18" x14ac:dyDescent="0.35">
      <c r="A27" s="388" t="s">
        <v>138</v>
      </c>
      <c r="B27" s="389"/>
      <c r="C27" s="410"/>
      <c r="D27" s="74">
        <f t="shared" ref="D27:G32" si="0">D21*24*365</f>
        <v>1166.5072780653602</v>
      </c>
      <c r="E27" s="74">
        <f t="shared" si="0"/>
        <v>1166.5072780653602</v>
      </c>
      <c r="F27" s="74">
        <f t="shared" si="0"/>
        <v>0</v>
      </c>
      <c r="G27" s="74">
        <f t="shared" si="0"/>
        <v>0</v>
      </c>
      <c r="H27" s="139">
        <f t="shared" ref="H27:H32" si="1">H21*100</f>
        <v>37.478584571429188</v>
      </c>
      <c r="I27" s="409"/>
      <c r="J27" s="72"/>
      <c r="K27" s="436" t="s">
        <v>197</v>
      </c>
      <c r="L27" s="437"/>
      <c r="M27" s="437"/>
      <c r="N27" s="293">
        <v>1.0422181543424801E-2</v>
      </c>
      <c r="O27" s="175">
        <f>CONVERT(N27*$N$4,"g","lbm")*$N$6</f>
        <v>6.3251022835194057E-2</v>
      </c>
      <c r="P27" s="178" t="s">
        <v>210</v>
      </c>
    </row>
    <row r="28" spans="1:16" ht="15.75" thickBot="1" x14ac:dyDescent="0.3">
      <c r="A28" s="390" t="s">
        <v>139</v>
      </c>
      <c r="B28" s="391"/>
      <c r="C28" s="392"/>
      <c r="D28" s="75">
        <f t="shared" si="0"/>
        <v>864.0794652336001</v>
      </c>
      <c r="E28" s="75">
        <f t="shared" si="0"/>
        <v>864.0794652336001</v>
      </c>
      <c r="F28" s="75">
        <f t="shared" si="0"/>
        <v>1152.1059536448001</v>
      </c>
      <c r="G28" s="75">
        <f t="shared" si="0"/>
        <v>1152.1059536448001</v>
      </c>
      <c r="H28" s="142">
        <f t="shared" si="1"/>
        <v>2.2046226218487757</v>
      </c>
      <c r="I28" s="409"/>
      <c r="J28" s="72"/>
      <c r="K28" s="434" t="s">
        <v>220</v>
      </c>
      <c r="L28" s="435"/>
      <c r="M28" s="435"/>
      <c r="N28" s="170">
        <v>6.7160913534463299E-3</v>
      </c>
      <c r="O28" s="44">
        <f>CONVERT(N28*$N$6,"g","lbm")</f>
        <v>3.287031218062784E-4</v>
      </c>
      <c r="P28" s="174" t="s">
        <v>210</v>
      </c>
    </row>
    <row r="29" spans="1:16" ht="18.75" thickBot="1" x14ac:dyDescent="0.4">
      <c r="A29" s="390" t="s">
        <v>140</v>
      </c>
      <c r="B29" s="391"/>
      <c r="C29" s="392"/>
      <c r="D29" s="75">
        <f t="shared" si="0"/>
        <v>1.81332</v>
      </c>
      <c r="E29" s="75">
        <f t="shared" si="0"/>
        <v>1.81332</v>
      </c>
      <c r="F29" s="75">
        <f t="shared" si="0"/>
        <v>0.35477999999999998</v>
      </c>
      <c r="G29" s="75">
        <f t="shared" si="0"/>
        <v>0.35477999999999998</v>
      </c>
      <c r="H29" s="142">
        <f t="shared" si="1"/>
        <v>4.7803970499030589E-2</v>
      </c>
      <c r="I29" s="409"/>
      <c r="J29" s="72"/>
      <c r="K29" s="383" t="s">
        <v>207</v>
      </c>
      <c r="L29" s="384"/>
      <c r="M29" s="384"/>
      <c r="N29" s="385"/>
      <c r="O29" s="73"/>
    </row>
    <row r="30" spans="1:16" ht="18" x14ac:dyDescent="0.35">
      <c r="A30" s="390" t="s">
        <v>141</v>
      </c>
      <c r="B30" s="391"/>
      <c r="C30" s="392"/>
      <c r="D30" s="75">
        <f t="shared" si="0"/>
        <v>2417.7600000000002</v>
      </c>
      <c r="E30" s="75">
        <f t="shared" si="0"/>
        <v>2417.7600000000002</v>
      </c>
      <c r="F30" s="75">
        <f t="shared" si="0"/>
        <v>473.04000000000008</v>
      </c>
      <c r="G30" s="75">
        <f t="shared" si="0"/>
        <v>473.04000000000008</v>
      </c>
      <c r="H30" s="142">
        <f t="shared" si="1"/>
        <v>31.8693136660204</v>
      </c>
      <c r="I30" s="409"/>
      <c r="J30" s="72"/>
      <c r="K30" s="388" t="s">
        <v>205</v>
      </c>
      <c r="L30" s="389"/>
      <c r="M30" s="389"/>
      <c r="N30" s="169">
        <f>SUM(O15:O16)/24</f>
        <v>0.57541818256952904</v>
      </c>
    </row>
    <row r="31" spans="1:16" ht="18" x14ac:dyDescent="0.35">
      <c r="A31" s="390" t="s">
        <v>142</v>
      </c>
      <c r="B31" s="391"/>
      <c r="C31" s="392"/>
      <c r="D31" s="300">
        <f t="shared" si="0"/>
        <v>362.66399999999999</v>
      </c>
      <c r="E31" s="300">
        <f t="shared" si="0"/>
        <v>362.66399999999999</v>
      </c>
      <c r="F31" s="300">
        <f t="shared" si="0"/>
        <v>70.956000000000003</v>
      </c>
      <c r="G31" s="300">
        <f t="shared" si="0"/>
        <v>70.956000000000003</v>
      </c>
      <c r="H31" s="301">
        <f t="shared" si="1"/>
        <v>4.7803970499030592</v>
      </c>
      <c r="I31" s="409"/>
      <c r="J31" s="72"/>
      <c r="K31" s="405" t="s">
        <v>204</v>
      </c>
      <c r="L31" s="406"/>
      <c r="M31" s="406"/>
      <c r="N31" s="144">
        <f>SUM(O13:O13)/24</f>
        <v>4.2887083500760211E-2</v>
      </c>
    </row>
    <row r="32" spans="1:16" ht="18.75" thickBot="1" x14ac:dyDescent="0.4">
      <c r="A32" s="398" t="s">
        <v>302</v>
      </c>
      <c r="B32" s="399"/>
      <c r="C32" s="400"/>
      <c r="D32" s="300">
        <f t="shared" si="0"/>
        <v>46.23352016722464</v>
      </c>
      <c r="E32" s="300">
        <f t="shared" si="0"/>
        <v>46.23352016722464</v>
      </c>
      <c r="F32" s="300">
        <f t="shared" si="0"/>
        <v>0</v>
      </c>
      <c r="G32" s="300">
        <f t="shared" si="0"/>
        <v>0</v>
      </c>
      <c r="H32" s="301">
        <f t="shared" si="1"/>
        <v>2.3592150617954886</v>
      </c>
      <c r="I32" s="261"/>
      <c r="J32" s="72"/>
      <c r="K32" s="390" t="s">
        <v>209</v>
      </c>
      <c r="L32" s="391"/>
      <c r="M32" s="391"/>
      <c r="N32" s="144">
        <f>SUM(O27:O28)/24</f>
        <v>2.6491552482083469E-3</v>
      </c>
    </row>
    <row r="33" spans="1:14" ht="18" customHeight="1" x14ac:dyDescent="0.35">
      <c r="A33" s="388" t="s">
        <v>180</v>
      </c>
      <c r="B33" s="389"/>
      <c r="C33" s="389"/>
      <c r="D33" s="146">
        <f>CONVERT(0.001*D8*$D$9*D17,"kg","lbm")</f>
        <v>0.31051982642476988</v>
      </c>
      <c r="E33" s="146">
        <f>CONVERT(0.001*E8*$D$9*D17,"kg","lbm")</f>
        <v>0.31051982642476988</v>
      </c>
      <c r="F33" s="146">
        <f>CONVERT(0.001*F8*$D$9*D17,"kg","lbm")</f>
        <v>6.075387908310715E-2</v>
      </c>
      <c r="G33" s="146">
        <f>CONVERT(0.001*G8*$D$9*D17,"kg","lbm")</f>
        <v>6.075387908310715E-2</v>
      </c>
      <c r="H33" s="146">
        <f>CONVERT(0.001*H8*$D$9*D17,"kg","lbm")</f>
        <v>0.71710534404704351</v>
      </c>
      <c r="I33" s="401" t="s">
        <v>186</v>
      </c>
      <c r="J33" s="72"/>
      <c r="K33" s="405" t="s">
        <v>206</v>
      </c>
      <c r="L33" s="406"/>
      <c r="M33" s="406"/>
      <c r="N33" s="144">
        <f>SUM(O19:O22)/24</f>
        <v>0.26629931146003788</v>
      </c>
    </row>
    <row r="34" spans="1:14" ht="18" x14ac:dyDescent="0.35">
      <c r="A34" s="390" t="s">
        <v>181</v>
      </c>
      <c r="B34" s="391"/>
      <c r="C34" s="392"/>
      <c r="D34" s="145">
        <f>CONVERT(0.001*D8*$D$9*D18,"kg","lbm")</f>
        <v>1.259544996314643E-5</v>
      </c>
      <c r="E34" s="145">
        <f>CONVERT(0.001*E8*$D$9*D18,"kg","lbm")</f>
        <v>1.259544996314643E-5</v>
      </c>
      <c r="F34" s="145">
        <f>CONVERT(0.001*F8*$D$9*D18,"kg","lbm")</f>
        <v>2.4643271667025617E-6</v>
      </c>
      <c r="G34" s="145">
        <f>CONVERT(0.001*G8*$D$9*D18,"kg","lbm")</f>
        <v>2.4643271667025617E-6</v>
      </c>
      <c r="H34" s="145">
        <f>CONVERT(0.001*H8*$D$9*D18,"kg","lbm")</f>
        <v>2.9087561278273805E-5</v>
      </c>
      <c r="I34" s="402"/>
      <c r="J34" s="72"/>
      <c r="K34" s="405" t="s">
        <v>208</v>
      </c>
      <c r="L34" s="406"/>
      <c r="M34" s="406"/>
      <c r="N34" s="144">
        <f>SUM(O23:O25)/24</f>
        <v>8.3917464862134483E-3</v>
      </c>
    </row>
    <row r="35" spans="1:14" ht="18.75" thickBot="1" x14ac:dyDescent="0.4">
      <c r="A35" s="398" t="s">
        <v>183</v>
      </c>
      <c r="B35" s="399"/>
      <c r="C35" s="400"/>
      <c r="D35" s="147">
        <f>CONVERT(0.001*D8*$D$9*D19,"kg","lbm")</f>
        <v>2.5190899926292852E-6</v>
      </c>
      <c r="E35" s="147">
        <f>CONVERT(0.001*E8*$D$9*D19,"kg","lbm")</f>
        <v>2.5190899926292852E-6</v>
      </c>
      <c r="F35" s="147">
        <f>CONVERT(0.001*F8*$D$9*D19,"kg","lbm")</f>
        <v>4.9286543334051238E-7</v>
      </c>
      <c r="G35" s="147">
        <f>CONVERT(0.001*G8*$D$9*D19,"kg","lbm")</f>
        <v>4.9286543334051238E-7</v>
      </c>
      <c r="H35" s="147">
        <f>CONVERT(0.001*H8*$D$9*D19,"kg","lbm")</f>
        <v>5.8175122556547597E-6</v>
      </c>
      <c r="I35" s="402"/>
      <c r="J35" s="72"/>
      <c r="K35" s="405" t="s">
        <v>180</v>
      </c>
      <c r="L35" s="406"/>
      <c r="M35" s="406"/>
      <c r="N35" s="168">
        <f>SUM(O17:O18)/24</f>
        <v>277.67562259970674</v>
      </c>
    </row>
    <row r="36" spans="1:14" ht="18.75" thickBot="1" x14ac:dyDescent="0.4">
      <c r="A36" s="388" t="s">
        <v>182</v>
      </c>
      <c r="B36" s="389"/>
      <c r="C36" s="389"/>
      <c r="D36" s="148">
        <f t="shared" ref="D36:G38" si="2">D33*24*365</f>
        <v>2720.153679480984</v>
      </c>
      <c r="E36" s="148">
        <f t="shared" si="2"/>
        <v>2720.153679480984</v>
      </c>
      <c r="F36" s="148">
        <f t="shared" si="2"/>
        <v>532.20398076801871</v>
      </c>
      <c r="G36" s="148">
        <f t="shared" si="2"/>
        <v>532.20398076801871</v>
      </c>
      <c r="H36" s="148">
        <f>H33*100</f>
        <v>71.710534404704347</v>
      </c>
      <c r="I36" s="403"/>
      <c r="J36" s="72"/>
      <c r="K36" s="398" t="s">
        <v>306</v>
      </c>
      <c r="L36" s="399"/>
      <c r="M36" s="399"/>
      <c r="N36" s="303">
        <f>SUM(O9:O10)</f>
        <v>0.27802854086054946</v>
      </c>
    </row>
    <row r="37" spans="1:14" ht="18" x14ac:dyDescent="0.35">
      <c r="A37" s="390" t="s">
        <v>184</v>
      </c>
      <c r="B37" s="391"/>
      <c r="C37" s="391"/>
      <c r="D37" s="149">
        <f t="shared" si="2"/>
        <v>0.11033614167716271</v>
      </c>
      <c r="E37" s="149">
        <f t="shared" si="2"/>
        <v>0.11033614167716271</v>
      </c>
      <c r="F37" s="149">
        <f t="shared" si="2"/>
        <v>2.1587505980314441E-2</v>
      </c>
      <c r="G37" s="149">
        <f t="shared" si="2"/>
        <v>2.1587505980314441E-2</v>
      </c>
      <c r="H37" s="149">
        <f>H34*100</f>
        <v>2.9087561278273804E-3</v>
      </c>
      <c r="I37" s="403"/>
      <c r="J37" s="72"/>
      <c r="K37" s="388" t="s">
        <v>138</v>
      </c>
      <c r="L37" s="389"/>
      <c r="M37" s="389"/>
      <c r="N37" s="180">
        <f t="shared" ref="N37:N43" si="3">N30*24*365</f>
        <v>5040.6632793090739</v>
      </c>
    </row>
    <row r="38" spans="1:14" ht="18.75" thickBot="1" x14ac:dyDescent="0.4">
      <c r="A38" s="398" t="s">
        <v>185</v>
      </c>
      <c r="B38" s="399"/>
      <c r="C38" s="399"/>
      <c r="D38" s="147">
        <f>D35*24*365</f>
        <v>2.2067228335432537E-2</v>
      </c>
      <c r="E38" s="147">
        <f t="shared" si="2"/>
        <v>2.2067228335432537E-2</v>
      </c>
      <c r="F38" s="147">
        <f t="shared" si="2"/>
        <v>4.3175011960628886E-3</v>
      </c>
      <c r="G38" s="147">
        <f t="shared" si="2"/>
        <v>4.3175011960628886E-3</v>
      </c>
      <c r="H38" s="147">
        <f>H35*100</f>
        <v>5.8175122556547595E-4</v>
      </c>
      <c r="I38" s="404"/>
      <c r="J38" s="72"/>
      <c r="K38" s="405" t="s">
        <v>139</v>
      </c>
      <c r="L38" s="406"/>
      <c r="M38" s="406"/>
      <c r="N38" s="168">
        <f t="shared" si="3"/>
        <v>375.69085146665947</v>
      </c>
    </row>
    <row r="39" spans="1:14" ht="18.75" thickBot="1" x14ac:dyDescent="0.4">
      <c r="A39" s="259"/>
      <c r="B39" s="260"/>
      <c r="C39" s="260"/>
      <c r="D39" s="304"/>
      <c r="E39" s="304"/>
      <c r="F39" s="304"/>
      <c r="G39" s="304"/>
      <c r="H39" s="304"/>
      <c r="I39" s="305"/>
      <c r="J39" s="72"/>
      <c r="K39" s="390" t="s">
        <v>140</v>
      </c>
      <c r="L39" s="391"/>
      <c r="M39" s="391"/>
      <c r="N39" s="168">
        <f t="shared" si="3"/>
        <v>23.206599974305121</v>
      </c>
    </row>
    <row r="40" spans="1:14" ht="15.75" thickBot="1" x14ac:dyDescent="0.3">
      <c r="A40" s="383" t="s">
        <v>255</v>
      </c>
      <c r="B40" s="384"/>
      <c r="C40" s="384"/>
      <c r="D40" s="384"/>
      <c r="E40" s="384"/>
      <c r="F40" s="384"/>
      <c r="G40" s="384"/>
      <c r="H40" s="384"/>
      <c r="I40" s="384"/>
      <c r="J40" s="385"/>
      <c r="K40" s="405" t="s">
        <v>226</v>
      </c>
      <c r="L40" s="406"/>
      <c r="M40" s="406"/>
      <c r="N40" s="168">
        <f t="shared" si="3"/>
        <v>2332.781968389932</v>
      </c>
    </row>
    <row r="41" spans="1:14" ht="18.75" thickBot="1" x14ac:dyDescent="0.3">
      <c r="A41" s="84" t="s">
        <v>100</v>
      </c>
      <c r="B41" s="104" t="s">
        <v>150</v>
      </c>
      <c r="C41" s="105" t="s">
        <v>143</v>
      </c>
      <c r="D41" s="105" t="s">
        <v>151</v>
      </c>
      <c r="E41" s="105" t="s">
        <v>152</v>
      </c>
      <c r="F41" s="105" t="s">
        <v>153</v>
      </c>
      <c r="G41" s="302" t="s">
        <v>304</v>
      </c>
      <c r="H41" s="102" t="s">
        <v>168</v>
      </c>
      <c r="I41" s="102" t="s">
        <v>13</v>
      </c>
      <c r="J41" s="103" t="s">
        <v>14</v>
      </c>
      <c r="K41" s="405" t="s">
        <v>227</v>
      </c>
      <c r="L41" s="406"/>
      <c r="M41" s="406"/>
      <c r="N41" s="168">
        <f t="shared" si="3"/>
        <v>73.511699219229797</v>
      </c>
    </row>
    <row r="42" spans="1:14" ht="18" x14ac:dyDescent="0.35">
      <c r="A42" s="82" t="s">
        <v>145</v>
      </c>
      <c r="B42" s="156">
        <f>SUM(D21:H21)+N30</f>
        <v>1.2165298908558209</v>
      </c>
      <c r="C42" s="157">
        <f>SUM(D22:H22)+N31</f>
        <v>0.52524961539924797</v>
      </c>
      <c r="D42" s="157">
        <f>SUM(D23:H23)+N32</f>
        <v>3.6221949531986528E-3</v>
      </c>
      <c r="E42" s="157">
        <f>SUM(D24:H24)+N33</f>
        <v>1.2449924481202419</v>
      </c>
      <c r="F42" s="157">
        <f>SUM(D25:H25)+N34</f>
        <v>0.15519571698524404</v>
      </c>
      <c r="G42" s="157">
        <f>SUM(D26:H26)+N36</f>
        <v>0.31217628969019945</v>
      </c>
      <c r="H42" s="154">
        <f>SUM(D33:H33,'Trip GHG Generation Comparison'!N8)</f>
        <v>8.0204927550627971</v>
      </c>
      <c r="I42" s="150">
        <f>SUM(D34:H34,'Trip GHG Generation Comparison'!O8)</f>
        <v>1.2802711553797178E-4</v>
      </c>
      <c r="J42" s="151">
        <f>SUM(D35:H35,'Trip GHG Generation Comparison'!P8)</f>
        <v>3.3863823107594356E-5</v>
      </c>
      <c r="K42" s="405" t="s">
        <v>182</v>
      </c>
      <c r="L42" s="406"/>
      <c r="M42" s="406"/>
      <c r="N42" s="168">
        <f t="shared" si="3"/>
        <v>2432438.4539734311</v>
      </c>
    </row>
    <row r="43" spans="1:14" ht="15.75" thickBot="1" x14ac:dyDescent="0.3">
      <c r="A43" s="60" t="s">
        <v>146</v>
      </c>
      <c r="B43" s="158">
        <f>SUM(D27:H27)+N37</f>
        <v>7411.1564200112234</v>
      </c>
      <c r="C43" s="110">
        <f>SUM(D28:H28)+N38</f>
        <v>4410.2663118453083</v>
      </c>
      <c r="D43" s="110">
        <f>SUM(D29:H29)+N39</f>
        <v>27.590603944804151</v>
      </c>
      <c r="E43" s="110">
        <f>SUM(D30:H30)+N40</f>
        <v>8146.2512820559532</v>
      </c>
      <c r="F43" s="110">
        <f>SUM(D31:H31)+N41</f>
        <v>945.53209626913281</v>
      </c>
      <c r="G43" s="110">
        <f>SUM(D32:H32)+N43</f>
        <v>2530.3562733346585</v>
      </c>
      <c r="H43" s="159">
        <f>SUM(D36:H36,'Trip GHG Generation Comparison'!N10)</f>
        <v>6578.8205615027091</v>
      </c>
      <c r="I43" s="152">
        <f>SUM(D37:H37,'Trip GHG Generation Comparison'!O10)</f>
        <v>0.26678117074278168</v>
      </c>
      <c r="J43" s="153">
        <f>SUM(D38:H38,'Trip GHG Generation Comparison'!P10)</f>
        <v>5.3359248464556329E-2</v>
      </c>
      <c r="K43" s="398" t="s">
        <v>305</v>
      </c>
      <c r="L43" s="399"/>
      <c r="M43" s="399"/>
      <c r="N43" s="179">
        <f t="shared" si="3"/>
        <v>2435.5300179384135</v>
      </c>
    </row>
    <row r="44" spans="1:14" x14ac:dyDescent="0.25">
      <c r="A44" s="60" t="s">
        <v>263</v>
      </c>
      <c r="B44" s="158">
        <f>CONVERT(B43,"lbm","ton")</f>
        <v>3.705578210005612</v>
      </c>
      <c r="C44" s="110">
        <f t="shared" ref="C44:J44" si="4">CONVERT(C43,"lbm","ton")</f>
        <v>2.2051331559226544</v>
      </c>
      <c r="D44" s="110">
        <f t="shared" si="4"/>
        <v>1.3795301972402077E-2</v>
      </c>
      <c r="E44" s="110">
        <f t="shared" si="4"/>
        <v>4.0731256410279766</v>
      </c>
      <c r="F44" s="110">
        <f t="shared" si="4"/>
        <v>0.47276604813456641</v>
      </c>
      <c r="G44" s="110">
        <f t="shared" si="4"/>
        <v>1.2651781366673291</v>
      </c>
      <c r="H44" s="110">
        <f t="shared" si="4"/>
        <v>3.2894102807513548</v>
      </c>
      <c r="I44" s="110">
        <f t="shared" si="4"/>
        <v>1.3339058537139084E-4</v>
      </c>
      <c r="J44" s="307">
        <f t="shared" si="4"/>
        <v>2.6679624232278166E-5</v>
      </c>
      <c r="K44" s="259"/>
      <c r="L44" s="260"/>
      <c r="M44" s="260"/>
      <c r="N44" s="306"/>
    </row>
    <row r="45" spans="1:14" x14ac:dyDescent="0.25">
      <c r="A45" s="60" t="s">
        <v>147</v>
      </c>
      <c r="B45" s="265" t="s">
        <v>149</v>
      </c>
      <c r="C45" s="266" t="s">
        <v>149</v>
      </c>
      <c r="D45" s="266" t="s">
        <v>149</v>
      </c>
      <c r="E45" s="266" t="s">
        <v>149</v>
      </c>
      <c r="F45" s="266" t="s">
        <v>149</v>
      </c>
      <c r="G45" s="266" t="s">
        <v>149</v>
      </c>
      <c r="H45" s="111">
        <f t="shared" ref="H45:J46" si="5">CONVERT(H42,"lbm","uk_ton")</f>
        <v>3.5805771227958917E-3</v>
      </c>
      <c r="I45" s="111">
        <f t="shared" si="5"/>
        <v>5.7154962293737406E-8</v>
      </c>
      <c r="J45" s="112">
        <f t="shared" si="5"/>
        <v>1.5117778173033196E-8</v>
      </c>
      <c r="K45" s="454" t="s">
        <v>221</v>
      </c>
      <c r="L45" s="455"/>
      <c r="M45" s="72"/>
    </row>
    <row r="46" spans="1:14" x14ac:dyDescent="0.25">
      <c r="A46" s="60" t="s">
        <v>148</v>
      </c>
      <c r="B46" s="265" t="s">
        <v>149</v>
      </c>
      <c r="C46" s="266" t="s">
        <v>149</v>
      </c>
      <c r="D46" s="266" t="s">
        <v>149</v>
      </c>
      <c r="E46" s="266" t="s">
        <v>149</v>
      </c>
      <c r="F46" s="266" t="s">
        <v>149</v>
      </c>
      <c r="G46" s="266" t="s">
        <v>149</v>
      </c>
      <c r="H46" s="123">
        <f t="shared" si="5"/>
        <v>2.9369734649565666</v>
      </c>
      <c r="I46" s="111">
        <f t="shared" si="5"/>
        <v>1.1909873693874183E-4</v>
      </c>
      <c r="J46" s="112">
        <f t="shared" si="5"/>
        <v>2.3821093064534077E-5</v>
      </c>
      <c r="K46" s="448" t="s">
        <v>222</v>
      </c>
      <c r="L46" s="449"/>
      <c r="M46" s="449"/>
    </row>
    <row r="47" spans="1:14" ht="18.75" thickBot="1" x14ac:dyDescent="0.3">
      <c r="A47" s="83" t="s">
        <v>187</v>
      </c>
      <c r="B47" s="80" t="s">
        <v>149</v>
      </c>
      <c r="C47" s="81" t="s">
        <v>149</v>
      </c>
      <c r="D47" s="81" t="s">
        <v>149</v>
      </c>
      <c r="E47" s="81" t="s">
        <v>149</v>
      </c>
      <c r="F47" s="81" t="s">
        <v>149</v>
      </c>
      <c r="G47" s="81" t="s">
        <v>149</v>
      </c>
      <c r="H47" s="125">
        <f>H46</f>
        <v>2.9369734649565666</v>
      </c>
      <c r="I47" s="308">
        <f>I46*25</f>
        <v>2.9774684234685459E-3</v>
      </c>
      <c r="J47" s="309">
        <f>J46*298</f>
        <v>7.098685733231155E-3</v>
      </c>
      <c r="K47" s="448" t="s">
        <v>223</v>
      </c>
      <c r="L47" s="449"/>
      <c r="M47" s="449"/>
    </row>
    <row r="48" spans="1:14" ht="18.75" thickBot="1" x14ac:dyDescent="0.3">
      <c r="A48" s="143"/>
      <c r="B48" s="155"/>
      <c r="C48" s="155"/>
      <c r="D48" s="155"/>
      <c r="E48" s="155"/>
      <c r="F48" s="155"/>
      <c r="H48" s="161" t="s">
        <v>173</v>
      </c>
      <c r="I48" s="164">
        <f>SUM(H47:I47)</f>
        <v>2.9399509333800351</v>
      </c>
      <c r="J48" s="160" t="s">
        <v>187</v>
      </c>
      <c r="K48" s="448" t="s">
        <v>224</v>
      </c>
      <c r="L48" s="449"/>
      <c r="M48" s="449"/>
    </row>
    <row r="49" spans="1:13" ht="17.25" x14ac:dyDescent="0.25">
      <c r="A49" t="s">
        <v>123</v>
      </c>
      <c r="K49" s="448" t="s">
        <v>225</v>
      </c>
      <c r="L49" s="449"/>
      <c r="M49" s="449"/>
    </row>
    <row r="50" spans="1:13" ht="17.25" x14ac:dyDescent="0.25">
      <c r="A50" t="s">
        <v>127</v>
      </c>
    </row>
    <row r="51" spans="1:13" ht="17.25" x14ac:dyDescent="0.25">
      <c r="A51" t="s">
        <v>177</v>
      </c>
    </row>
    <row r="52" spans="1:13" ht="17.25" x14ac:dyDescent="0.25">
      <c r="A52" t="s">
        <v>129</v>
      </c>
    </row>
    <row r="53" spans="1:13" ht="17.25" x14ac:dyDescent="0.25">
      <c r="A53" t="s">
        <v>281</v>
      </c>
    </row>
    <row r="54" spans="1:13" ht="18.75" x14ac:dyDescent="0.35">
      <c r="A54" t="s">
        <v>178</v>
      </c>
    </row>
    <row r="55" spans="1:13" ht="17.25" x14ac:dyDescent="0.25">
      <c r="A55" t="s">
        <v>188</v>
      </c>
    </row>
    <row r="56" spans="1:13" ht="17.25" x14ac:dyDescent="0.25">
      <c r="A56" t="s">
        <v>214</v>
      </c>
    </row>
    <row r="57" spans="1:13" ht="17.25" x14ac:dyDescent="0.25">
      <c r="A57" t="s">
        <v>229</v>
      </c>
    </row>
    <row r="58" spans="1:13" ht="17.25" x14ac:dyDescent="0.25">
      <c r="A58" t="s">
        <v>307</v>
      </c>
    </row>
  </sheetData>
  <mergeCells count="104">
    <mergeCell ref="K48:M48"/>
    <mergeCell ref="K49:M49"/>
    <mergeCell ref="K6:M6"/>
    <mergeCell ref="K7:M7"/>
    <mergeCell ref="O8:P8"/>
    <mergeCell ref="K8:N8"/>
    <mergeCell ref="K9:M9"/>
    <mergeCell ref="K40:M40"/>
    <mergeCell ref="K31:M31"/>
    <mergeCell ref="K35:M35"/>
    <mergeCell ref="K33:M33"/>
    <mergeCell ref="K34:M34"/>
    <mergeCell ref="K32:M32"/>
    <mergeCell ref="K45:L45"/>
    <mergeCell ref="K46:M46"/>
    <mergeCell ref="K47:M47"/>
    <mergeCell ref="K36:M36"/>
    <mergeCell ref="K43:M43"/>
    <mergeCell ref="K41:M41"/>
    <mergeCell ref="K42:M42"/>
    <mergeCell ref="F11:G11"/>
    <mergeCell ref="D11:E11"/>
    <mergeCell ref="K4:M4"/>
    <mergeCell ref="K5:M5"/>
    <mergeCell ref="K3:M3"/>
    <mergeCell ref="K2:N2"/>
    <mergeCell ref="K13:M13"/>
    <mergeCell ref="K28:M28"/>
    <mergeCell ref="K27:M27"/>
    <mergeCell ref="K26:M26"/>
    <mergeCell ref="K25:M25"/>
    <mergeCell ref="K24:M24"/>
    <mergeCell ref="K23:M23"/>
    <mergeCell ref="K22:M22"/>
    <mergeCell ref="K21:M21"/>
    <mergeCell ref="K20:M20"/>
    <mergeCell ref="K19:M19"/>
    <mergeCell ref="K17:M17"/>
    <mergeCell ref="K16:M16"/>
    <mergeCell ref="K15:M15"/>
    <mergeCell ref="K18:M18"/>
    <mergeCell ref="K12:M12"/>
    <mergeCell ref="K11:M11"/>
    <mergeCell ref="K10:M10"/>
    <mergeCell ref="A11:C11"/>
    <mergeCell ref="A12:C12"/>
    <mergeCell ref="A16:C16"/>
    <mergeCell ref="A13:C13"/>
    <mergeCell ref="A24:C24"/>
    <mergeCell ref="A25:C25"/>
    <mergeCell ref="A32:C32"/>
    <mergeCell ref="A2:H2"/>
    <mergeCell ref="A10:H10"/>
    <mergeCell ref="A20:H20"/>
    <mergeCell ref="D16:H16"/>
    <mergeCell ref="A9:C9"/>
    <mergeCell ref="D9:H9"/>
    <mergeCell ref="A19:C19"/>
    <mergeCell ref="A18:C18"/>
    <mergeCell ref="D18:H18"/>
    <mergeCell ref="D19:H19"/>
    <mergeCell ref="A3:C3"/>
    <mergeCell ref="A4:C4"/>
    <mergeCell ref="A5:C5"/>
    <mergeCell ref="A8:C8"/>
    <mergeCell ref="A6:C6"/>
    <mergeCell ref="A7:C7"/>
    <mergeCell ref="D7:H7"/>
    <mergeCell ref="A31:C31"/>
    <mergeCell ref="A17:C17"/>
    <mergeCell ref="D17:H17"/>
    <mergeCell ref="F12:G12"/>
    <mergeCell ref="F15:G15"/>
    <mergeCell ref="F13:G13"/>
    <mergeCell ref="D13:E13"/>
    <mergeCell ref="D12:E12"/>
    <mergeCell ref="A33:C33"/>
    <mergeCell ref="A21:C21"/>
    <mergeCell ref="A22:C22"/>
    <mergeCell ref="A23:C23"/>
    <mergeCell ref="A40:J40"/>
    <mergeCell ref="K14:M14"/>
    <mergeCell ref="K29:N29"/>
    <mergeCell ref="K30:M30"/>
    <mergeCell ref="A14:C14"/>
    <mergeCell ref="A15:C15"/>
    <mergeCell ref="F14:G14"/>
    <mergeCell ref="D15:E15"/>
    <mergeCell ref="D14:E14"/>
    <mergeCell ref="A26:C26"/>
    <mergeCell ref="A34:C34"/>
    <mergeCell ref="I33:I38"/>
    <mergeCell ref="A35:C35"/>
    <mergeCell ref="A36:C36"/>
    <mergeCell ref="A37:C37"/>
    <mergeCell ref="A38:C38"/>
    <mergeCell ref="K37:M37"/>
    <mergeCell ref="K38:M38"/>
    <mergeCell ref="K39:M39"/>
    <mergeCell ref="I21:I31"/>
    <mergeCell ref="A27:C27"/>
    <mergeCell ref="A28:C28"/>
    <mergeCell ref="A29:C29"/>
    <mergeCell ref="A30:C30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51"/>
  <sheetViews>
    <sheetView zoomScaleNormal="100" workbookViewId="0">
      <selection activeCell="G9" sqref="G9"/>
    </sheetView>
  </sheetViews>
  <sheetFormatPr defaultRowHeight="15" x14ac:dyDescent="0.25"/>
  <cols>
    <col min="3" max="3" width="15.5703125" customWidth="1"/>
    <col min="4" max="4" width="14.140625" customWidth="1"/>
    <col min="5" max="5" width="11.5703125" customWidth="1"/>
    <col min="6" max="6" width="12.42578125" customWidth="1"/>
    <col min="7" max="7" width="12" customWidth="1"/>
    <col min="8" max="8" width="13.140625" customWidth="1"/>
    <col min="9" max="9" width="13.85546875" customWidth="1"/>
  </cols>
  <sheetData>
    <row r="1" spans="1:8" ht="30" customHeight="1" thickBot="1" x14ac:dyDescent="0.4">
      <c r="C1" s="322" t="s">
        <v>315</v>
      </c>
    </row>
    <row r="2" spans="1:8" ht="15.75" thickBot="1" x14ac:dyDescent="0.3">
      <c r="A2" s="417" t="s">
        <v>189</v>
      </c>
      <c r="B2" s="418"/>
      <c r="C2" s="418"/>
      <c r="D2" s="419"/>
    </row>
    <row r="3" spans="1:8" ht="94.5" customHeight="1" thickBot="1" x14ac:dyDescent="0.3">
      <c r="A3" s="426" t="s">
        <v>190</v>
      </c>
      <c r="B3" s="427"/>
      <c r="C3" s="427"/>
      <c r="D3" s="213" t="s">
        <v>191</v>
      </c>
    </row>
    <row r="4" spans="1:8" x14ac:dyDescent="0.25">
      <c r="A4" s="388" t="s">
        <v>202</v>
      </c>
      <c r="B4" s="389"/>
      <c r="C4" s="389"/>
      <c r="D4" s="169">
        <f>29*2</f>
        <v>58</v>
      </c>
    </row>
    <row r="5" spans="1:8" x14ac:dyDescent="0.25">
      <c r="A5" s="390" t="s">
        <v>203</v>
      </c>
      <c r="B5" s="391"/>
      <c r="C5" s="391"/>
      <c r="D5" s="144">
        <v>365</v>
      </c>
    </row>
    <row r="6" spans="1:8" x14ac:dyDescent="0.25">
      <c r="A6" s="390" t="s">
        <v>211</v>
      </c>
      <c r="B6" s="391"/>
      <c r="C6" s="391"/>
      <c r="D6" s="144">
        <v>65.5</v>
      </c>
    </row>
    <row r="7" spans="1:8" ht="15.75" thickBot="1" x14ac:dyDescent="0.3">
      <c r="A7" s="398" t="s">
        <v>212</v>
      </c>
      <c r="B7" s="399"/>
      <c r="C7" s="399"/>
      <c r="D7" s="179">
        <v>1</v>
      </c>
    </row>
    <row r="8" spans="1:8" ht="18" thickBot="1" x14ac:dyDescent="0.3">
      <c r="A8" s="383" t="s">
        <v>228</v>
      </c>
      <c r="B8" s="384"/>
      <c r="C8" s="384"/>
      <c r="D8" s="385"/>
      <c r="E8" s="450" t="s">
        <v>213</v>
      </c>
      <c r="F8" s="451"/>
      <c r="G8" s="323" t="s">
        <v>316</v>
      </c>
      <c r="H8" s="324" t="s">
        <v>317</v>
      </c>
    </row>
    <row r="9" spans="1:8" ht="15.75" thickBot="1" x14ac:dyDescent="0.3">
      <c r="A9" s="452" t="s">
        <v>296</v>
      </c>
      <c r="B9" s="453" t="s">
        <v>292</v>
      </c>
      <c r="C9" s="453" t="s">
        <v>292</v>
      </c>
      <c r="D9" s="289">
        <v>4.5538337653436498E-2</v>
      </c>
      <c r="E9" s="137">
        <f>CONVERT(D9*$D$4,"g","lbm")*$D$6</f>
        <v>0.38140003268883305</v>
      </c>
      <c r="F9" s="37" t="s">
        <v>210</v>
      </c>
      <c r="G9" s="137">
        <f>E9*(2.7/29)</f>
        <v>3.5509658215856874E-2</v>
      </c>
      <c r="H9" s="37">
        <f>E9*(1-(2.7/29))</f>
        <v>0.34589037447297621</v>
      </c>
    </row>
    <row r="10" spans="1:8" ht="15.75" thickBot="1" x14ac:dyDescent="0.3">
      <c r="A10" s="446" t="s">
        <v>297</v>
      </c>
      <c r="B10" s="447" t="s">
        <v>293</v>
      </c>
      <c r="C10" s="447" t="s">
        <v>293</v>
      </c>
      <c r="D10" s="294">
        <v>3.3949949738670299E-2</v>
      </c>
      <c r="E10" s="176">
        <f>CONVERT(D10*$D$6,"g","lbm")</f>
        <v>4.9024671818948462E-3</v>
      </c>
      <c r="F10" s="177" t="s">
        <v>210</v>
      </c>
      <c r="G10" s="137">
        <f t="shared" ref="G10:G28" si="0">E10*(2.7/29)</f>
        <v>4.5643659969365813E-4</v>
      </c>
      <c r="H10" s="37">
        <f t="shared" ref="H10:H28" si="1">E10*(1-(2.7/29))</f>
        <v>4.4460305822011884E-3</v>
      </c>
    </row>
    <row r="11" spans="1:8" ht="15.75" thickBot="1" x14ac:dyDescent="0.3">
      <c r="A11" s="444" t="s">
        <v>298</v>
      </c>
      <c r="B11" s="445" t="s">
        <v>294</v>
      </c>
      <c r="C11" s="445" t="s">
        <v>294</v>
      </c>
      <c r="D11" s="290">
        <v>5.1841930981490397E-2</v>
      </c>
      <c r="E11" s="41">
        <f>CONVERT(D11*$D$4,"g","lbm")*$D$6</f>
        <v>0.43419490455424115</v>
      </c>
      <c r="F11" s="28" t="s">
        <v>210</v>
      </c>
      <c r="G11" s="137">
        <f t="shared" si="0"/>
        <v>4.0425042837808664E-2</v>
      </c>
      <c r="H11" s="37">
        <f t="shared" si="1"/>
        <v>0.39376986171643252</v>
      </c>
    </row>
    <row r="12" spans="1:8" ht="15.75" thickBot="1" x14ac:dyDescent="0.3">
      <c r="A12" s="442" t="s">
        <v>299</v>
      </c>
      <c r="B12" s="443" t="s">
        <v>295</v>
      </c>
      <c r="C12" s="443" t="s">
        <v>295</v>
      </c>
      <c r="D12" s="291">
        <v>3.8649433463551097E-2</v>
      </c>
      <c r="E12" s="44">
        <f>CONVERT(D12*$D$6,"g","lbm")</f>
        <v>5.5810857044676409E-3</v>
      </c>
      <c r="F12" s="174" t="s">
        <v>210</v>
      </c>
      <c r="G12" s="137">
        <f t="shared" si="0"/>
        <v>5.1961832420905621E-4</v>
      </c>
      <c r="H12" s="37">
        <f t="shared" si="1"/>
        <v>5.0614673802585851E-3</v>
      </c>
    </row>
    <row r="13" spans="1:8" ht="15.75" thickBot="1" x14ac:dyDescent="0.3">
      <c r="A13" s="432" t="s">
        <v>192</v>
      </c>
      <c r="B13" s="433"/>
      <c r="C13" s="433"/>
      <c r="D13" s="292">
        <v>0.16960116693546401</v>
      </c>
      <c r="E13" s="137">
        <f>CONVERT(D13*$D$4,"g","lbm")*$D$6</f>
        <v>1.4204710568386052</v>
      </c>
      <c r="F13" s="37" t="s">
        <v>210</v>
      </c>
      <c r="G13" s="137">
        <f t="shared" si="0"/>
        <v>0.13225075356773222</v>
      </c>
      <c r="H13" s="37">
        <f t="shared" si="1"/>
        <v>1.288220303270873</v>
      </c>
    </row>
    <row r="14" spans="1:8" ht="15.75" thickBot="1" x14ac:dyDescent="0.3">
      <c r="A14" s="386" t="s">
        <v>215</v>
      </c>
      <c r="B14" s="387"/>
      <c r="C14" s="387"/>
      <c r="D14" s="171">
        <v>0.27830405952166398</v>
      </c>
      <c r="E14" s="176">
        <f>CONVERT(D14*$D$6,"g","lbm")</f>
        <v>4.0187880361984459E-2</v>
      </c>
      <c r="F14" s="177" t="s">
        <v>210</v>
      </c>
      <c r="G14" s="137">
        <f t="shared" si="0"/>
        <v>3.7416302405985534E-3</v>
      </c>
      <c r="H14" s="37">
        <f t="shared" si="1"/>
        <v>3.6446250121385908E-2</v>
      </c>
    </row>
    <row r="15" spans="1:8" ht="15.75" thickBot="1" x14ac:dyDescent="0.3">
      <c r="A15" s="436" t="s">
        <v>193</v>
      </c>
      <c r="B15" s="437"/>
      <c r="C15" s="437"/>
      <c r="D15" s="293">
        <v>2.2387891649835501</v>
      </c>
      <c r="E15" s="175">
        <f>CONVERT(D15*$D$4,"g","lbm")*$D$6</f>
        <v>18.750668221717458</v>
      </c>
      <c r="F15" s="178" t="s">
        <v>210</v>
      </c>
      <c r="G15" s="137">
        <f t="shared" si="0"/>
        <v>1.7457518689185221</v>
      </c>
      <c r="H15" s="37">
        <f t="shared" si="1"/>
        <v>17.004916352798936</v>
      </c>
    </row>
    <row r="16" spans="1:8" ht="15.75" thickBot="1" x14ac:dyDescent="0.3">
      <c r="A16" s="386" t="s">
        <v>216</v>
      </c>
      <c r="B16" s="387"/>
      <c r="C16" s="387"/>
      <c r="D16" s="171">
        <v>4.55803237750506</v>
      </c>
      <c r="E16" s="176">
        <f>CONVERT(D16*$D$6,"g","lbm")</f>
        <v>0.65819255453212633</v>
      </c>
      <c r="F16" s="177" t="s">
        <v>210</v>
      </c>
      <c r="G16" s="137">
        <f t="shared" si="0"/>
        <v>6.1279996456439355E-2</v>
      </c>
      <c r="H16" s="37">
        <f t="shared" si="1"/>
        <v>0.59691255807568699</v>
      </c>
    </row>
    <row r="17" spans="1:8" ht="15.75" thickBot="1" x14ac:dyDescent="0.3">
      <c r="A17" s="436" t="s">
        <v>194</v>
      </c>
      <c r="B17" s="437"/>
      <c r="C17" s="437"/>
      <c r="D17" s="293">
        <v>1092.41832877665</v>
      </c>
      <c r="E17" s="175">
        <f>CONVERT(D17*$D$4,"g","lbm")*$D$6</f>
        <v>9149.398238384154</v>
      </c>
      <c r="F17" s="178" t="s">
        <v>210</v>
      </c>
      <c r="G17" s="137">
        <f t="shared" si="0"/>
        <v>851.84052564266267</v>
      </c>
      <c r="H17" s="37">
        <f t="shared" si="1"/>
        <v>8297.5577127414908</v>
      </c>
    </row>
    <row r="18" spans="1:8" ht="15.75" thickBot="1" x14ac:dyDescent="0.3">
      <c r="A18" s="386" t="s">
        <v>217</v>
      </c>
      <c r="B18" s="387"/>
      <c r="C18" s="387"/>
      <c r="D18" s="171">
        <v>703.95830869706595</v>
      </c>
      <c r="E18" s="176">
        <f>CONVERT(D18*$D$6,"g","lbm")</f>
        <v>101.65353799857307</v>
      </c>
      <c r="F18" s="177" t="s">
        <v>210</v>
      </c>
      <c r="G18" s="137">
        <f t="shared" si="0"/>
        <v>9.4642949171085284</v>
      </c>
      <c r="H18" s="37">
        <f t="shared" si="1"/>
        <v>92.189243081464554</v>
      </c>
    </row>
    <row r="19" spans="1:8" ht="15.75" thickBot="1" x14ac:dyDescent="0.3">
      <c r="A19" s="436" t="s">
        <v>195</v>
      </c>
      <c r="B19" s="437"/>
      <c r="C19" s="437"/>
      <c r="D19" s="293">
        <v>1.17346126543182E-2</v>
      </c>
      <c r="E19" s="175">
        <f>CONVERT(D19*$D$4,"g","lbm")*$D$6</f>
        <v>9.8281621169586345E-2</v>
      </c>
      <c r="F19" s="178" t="s">
        <v>210</v>
      </c>
      <c r="G19" s="137">
        <f t="shared" si="0"/>
        <v>9.1503578330304532E-3</v>
      </c>
      <c r="H19" s="37">
        <f t="shared" si="1"/>
        <v>8.9131263336555897E-2</v>
      </c>
    </row>
    <row r="20" spans="1:8" ht="15.75" thickBot="1" x14ac:dyDescent="0.3">
      <c r="A20" s="386" t="s">
        <v>218</v>
      </c>
      <c r="B20" s="387"/>
      <c r="C20" s="387"/>
      <c r="D20" s="171">
        <v>1.4230384616689001E-3</v>
      </c>
      <c r="E20" s="176">
        <f>CONVERT(D20*$D$6,"g","lbm")</f>
        <v>2.0549071237532712E-4</v>
      </c>
      <c r="F20" s="177" t="s">
        <v>210</v>
      </c>
      <c r="G20" s="137">
        <f t="shared" si="0"/>
        <v>1.9131893910806318E-5</v>
      </c>
      <c r="H20" s="37">
        <f t="shared" si="1"/>
        <v>1.8635881846452081E-4</v>
      </c>
    </row>
    <row r="21" spans="1:8" ht="18" customHeight="1" thickBot="1" x14ac:dyDescent="0.3">
      <c r="A21" s="440" t="s">
        <v>198</v>
      </c>
      <c r="B21" s="441"/>
      <c r="C21" s="441"/>
      <c r="D21" s="172">
        <v>1.2000003439211201E-2</v>
      </c>
      <c r="E21" s="175">
        <f>D21*$D$7*$D$6</f>
        <v>0.78600022526833369</v>
      </c>
      <c r="F21" s="178" t="s">
        <v>210</v>
      </c>
      <c r="G21" s="137">
        <f t="shared" si="0"/>
        <v>7.3179331318086238E-2</v>
      </c>
      <c r="H21" s="37">
        <f t="shared" si="1"/>
        <v>0.7128208939502475</v>
      </c>
    </row>
    <row r="22" spans="1:8" ht="15.75" thickBot="1" x14ac:dyDescent="0.3">
      <c r="A22" s="438" t="s">
        <v>199</v>
      </c>
      <c r="B22" s="439"/>
      <c r="C22" s="439"/>
      <c r="D22" s="173">
        <v>0.13034003735556601</v>
      </c>
      <c r="E22" s="176">
        <f>D22*$D$7*$D$6</f>
        <v>8.537272446789574</v>
      </c>
      <c r="F22" s="177" t="s">
        <v>210</v>
      </c>
      <c r="G22" s="137">
        <f t="shared" si="0"/>
        <v>0.79484950366661555</v>
      </c>
      <c r="H22" s="37">
        <f t="shared" si="1"/>
        <v>7.7424229431229588</v>
      </c>
    </row>
    <row r="23" spans="1:8" ht="15.75" thickBot="1" x14ac:dyDescent="0.3">
      <c r="A23" s="436" t="s">
        <v>196</v>
      </c>
      <c r="B23" s="437"/>
      <c r="C23" s="437"/>
      <c r="D23" s="293">
        <v>1.12269785052884E-2</v>
      </c>
      <c r="E23" s="175">
        <f>CONVERT(D23*$D$4,"g","lbm")*$D$6</f>
        <v>9.4030001742733529E-2</v>
      </c>
      <c r="F23" s="178" t="s">
        <v>210</v>
      </c>
      <c r="G23" s="137">
        <f t="shared" si="0"/>
        <v>8.754517403633812E-3</v>
      </c>
      <c r="H23" s="37">
        <f t="shared" si="1"/>
        <v>8.5275484339099719E-2</v>
      </c>
    </row>
    <row r="24" spans="1:8" ht="15.75" thickBot="1" x14ac:dyDescent="0.3">
      <c r="A24" s="386" t="s">
        <v>219</v>
      </c>
      <c r="B24" s="387"/>
      <c r="C24" s="387"/>
      <c r="D24" s="171">
        <v>1.3614784477335199E-3</v>
      </c>
      <c r="E24" s="176">
        <f>CONVERT(D24*$D$6,"g","lbm")</f>
        <v>1.9660127511965324E-4</v>
      </c>
      <c r="F24" s="177" t="s">
        <v>210</v>
      </c>
      <c r="G24" s="137">
        <f t="shared" si="0"/>
        <v>1.8304256649071166E-5</v>
      </c>
      <c r="H24" s="37">
        <f t="shared" si="1"/>
        <v>1.7829701847058208E-4</v>
      </c>
    </row>
    <row r="25" spans="1:8" ht="15.75" thickBot="1" x14ac:dyDescent="0.3">
      <c r="A25" s="440" t="s">
        <v>200</v>
      </c>
      <c r="B25" s="441"/>
      <c r="C25" s="441"/>
      <c r="D25" s="172">
        <v>3.0000008598028201E-3</v>
      </c>
      <c r="E25" s="175">
        <f>D25*$D$7*$D$6</f>
        <v>0.19650005631708473</v>
      </c>
      <c r="F25" s="178" t="s">
        <v>210</v>
      </c>
      <c r="G25" s="137">
        <f t="shared" si="0"/>
        <v>1.8294832829521681E-2</v>
      </c>
      <c r="H25" s="37">
        <f t="shared" si="1"/>
        <v>0.17820522348756304</v>
      </c>
    </row>
    <row r="26" spans="1:8" ht="15.75" thickBot="1" x14ac:dyDescent="0.3">
      <c r="A26" s="438" t="s">
        <v>201</v>
      </c>
      <c r="B26" s="439"/>
      <c r="C26" s="439"/>
      <c r="D26" s="173">
        <v>5.5860016009528501E-2</v>
      </c>
      <c r="E26" s="176">
        <f>D26*$D$7*$D$6</f>
        <v>3.6588310486241169</v>
      </c>
      <c r="F26" s="177" t="s">
        <v>210</v>
      </c>
      <c r="G26" s="137">
        <f t="shared" si="0"/>
        <v>0.34064978728569367</v>
      </c>
      <c r="H26" s="37">
        <f t="shared" si="1"/>
        <v>3.3181812613384234</v>
      </c>
    </row>
    <row r="27" spans="1:8" ht="15.75" thickBot="1" x14ac:dyDescent="0.3">
      <c r="A27" s="436" t="s">
        <v>197</v>
      </c>
      <c r="B27" s="437"/>
      <c r="C27" s="437"/>
      <c r="D27" s="293">
        <v>1.0422181543424801E-2</v>
      </c>
      <c r="E27" s="175">
        <f>CONVERT(D27*$D$4,"g","lbm")*$D$6</f>
        <v>8.7289536381466956E-2</v>
      </c>
      <c r="F27" s="178" t="s">
        <v>210</v>
      </c>
      <c r="G27" s="137">
        <f t="shared" si="0"/>
        <v>8.1269568355158903E-3</v>
      </c>
      <c r="H27" s="37">
        <f t="shared" si="1"/>
        <v>7.9162579545951073E-2</v>
      </c>
    </row>
    <row r="28" spans="1:8" ht="15.75" thickBot="1" x14ac:dyDescent="0.3">
      <c r="A28" s="434" t="s">
        <v>220</v>
      </c>
      <c r="B28" s="435"/>
      <c r="C28" s="435"/>
      <c r="D28" s="170">
        <v>6.7160913534463299E-3</v>
      </c>
      <c r="E28" s="44">
        <f>CONVERT(D28*$D$6,"g","lbm")</f>
        <v>9.6982227379780351E-4</v>
      </c>
      <c r="F28" s="174" t="s">
        <v>210</v>
      </c>
      <c r="G28" s="325">
        <f t="shared" si="0"/>
        <v>9.0293797905312742E-5</v>
      </c>
      <c r="H28" s="326">
        <f t="shared" si="1"/>
        <v>8.7952847589249075E-4</v>
      </c>
    </row>
    <row r="29" spans="1:8" ht="15.75" thickBot="1" x14ac:dyDescent="0.3">
      <c r="A29" s="383" t="s">
        <v>207</v>
      </c>
      <c r="B29" s="384"/>
      <c r="C29" s="384"/>
      <c r="D29" s="385"/>
      <c r="E29" s="323" t="s">
        <v>316</v>
      </c>
      <c r="F29" s="324" t="s">
        <v>317</v>
      </c>
    </row>
    <row r="30" spans="1:8" ht="18" x14ac:dyDescent="0.35">
      <c r="A30" s="388" t="s">
        <v>205</v>
      </c>
      <c r="B30" s="389"/>
      <c r="C30" s="389"/>
      <c r="D30" s="169">
        <f>SUM(E15:E16)/24</f>
        <v>0.80870253234373257</v>
      </c>
      <c r="E30" s="137">
        <f>D30*(2.7/29)</f>
        <v>7.5292994390623383E-2</v>
      </c>
      <c r="F30" s="37">
        <f>D30*(1-(2.7/29))</f>
        <v>0.73340953795310926</v>
      </c>
    </row>
    <row r="31" spans="1:8" x14ac:dyDescent="0.25">
      <c r="A31" s="405" t="s">
        <v>204</v>
      </c>
      <c r="B31" s="406"/>
      <c r="C31" s="406"/>
      <c r="D31" s="144">
        <f>SUM(E13:E13)/24</f>
        <v>5.9186294034941883E-2</v>
      </c>
      <c r="E31" s="41">
        <f t="shared" ref="E31:E45" si="2">D31*(2.7/29)</f>
        <v>5.5104480653221759E-3</v>
      </c>
      <c r="F31" s="28">
        <f t="shared" ref="F31:F43" si="3">D31*(1-(2.7/29))</f>
        <v>5.3675845969619711E-2</v>
      </c>
    </row>
    <row r="32" spans="1:8" ht="18" x14ac:dyDescent="0.35">
      <c r="A32" s="390" t="s">
        <v>209</v>
      </c>
      <c r="B32" s="391"/>
      <c r="C32" s="391"/>
      <c r="D32" s="144">
        <f>SUM(E27:E28)/24</f>
        <v>3.6774732773026983E-3</v>
      </c>
      <c r="E32" s="41">
        <f t="shared" si="2"/>
        <v>3.4238544305921677E-4</v>
      </c>
      <c r="F32" s="28">
        <f t="shared" si="3"/>
        <v>3.3350878342434816E-3</v>
      </c>
    </row>
    <row r="33" spans="1:6" ht="18" customHeight="1" x14ac:dyDescent="0.25">
      <c r="A33" s="405" t="s">
        <v>206</v>
      </c>
      <c r="B33" s="406"/>
      <c r="C33" s="406"/>
      <c r="D33" s="144">
        <f>SUM(E19:E22)/24</f>
        <v>0.39257332433082787</v>
      </c>
      <c r="E33" s="41">
        <f t="shared" si="2"/>
        <v>3.6549930196318456E-2</v>
      </c>
      <c r="F33" s="28">
        <f t="shared" si="3"/>
        <v>0.3560233941345094</v>
      </c>
    </row>
    <row r="34" spans="1:6" x14ac:dyDescent="0.25">
      <c r="A34" s="405" t="s">
        <v>208</v>
      </c>
      <c r="B34" s="406"/>
      <c r="C34" s="406"/>
      <c r="D34" s="144">
        <f>SUM(E23:E25)/24</f>
        <v>1.2113610805622413E-2</v>
      </c>
      <c r="E34" s="41">
        <f t="shared" si="2"/>
        <v>1.1278189370751903E-3</v>
      </c>
      <c r="F34" s="28">
        <f t="shared" si="3"/>
        <v>1.0985791868547224E-2</v>
      </c>
    </row>
    <row r="35" spans="1:6" ht="18" x14ac:dyDescent="0.35">
      <c r="A35" s="405" t="s">
        <v>180</v>
      </c>
      <c r="B35" s="406"/>
      <c r="C35" s="406"/>
      <c r="D35" s="168">
        <f>SUM(E17:E18)/24</f>
        <v>385.46049068261362</v>
      </c>
      <c r="E35" s="41">
        <f t="shared" si="2"/>
        <v>35.887700856657133</v>
      </c>
      <c r="F35" s="28">
        <f t="shared" si="3"/>
        <v>349.57278982595653</v>
      </c>
    </row>
    <row r="36" spans="1:6" ht="15.75" thickBot="1" x14ac:dyDescent="0.3">
      <c r="A36" s="398" t="s">
        <v>306</v>
      </c>
      <c r="B36" s="399"/>
      <c r="C36" s="399"/>
      <c r="D36" s="303">
        <f>SUM(E9:E10)</f>
        <v>0.3863024998707279</v>
      </c>
      <c r="E36" s="44">
        <f t="shared" si="2"/>
        <v>3.5966094815550534E-2</v>
      </c>
      <c r="F36" s="174">
        <f t="shared" si="3"/>
        <v>0.35033640505517738</v>
      </c>
    </row>
    <row r="37" spans="1:6" ht="18" x14ac:dyDescent="0.35">
      <c r="A37" s="388" t="s">
        <v>138</v>
      </c>
      <c r="B37" s="389"/>
      <c r="C37" s="389"/>
      <c r="D37" s="180">
        <f t="shared" ref="D37:D43" si="4">D30*24*365</f>
        <v>7084.2341833310975</v>
      </c>
      <c r="E37" s="137">
        <f t="shared" si="2"/>
        <v>659.56663086186086</v>
      </c>
      <c r="F37" s="37">
        <f t="shared" si="3"/>
        <v>6424.6675524692373</v>
      </c>
    </row>
    <row r="38" spans="1:6" x14ac:dyDescent="0.25">
      <c r="A38" s="405" t="s">
        <v>139</v>
      </c>
      <c r="B38" s="406"/>
      <c r="C38" s="406"/>
      <c r="D38" s="168">
        <f t="shared" si="4"/>
        <v>518.47193574609094</v>
      </c>
      <c r="E38" s="41">
        <f t="shared" si="2"/>
        <v>48.271525052222259</v>
      </c>
      <c r="F38" s="28">
        <f t="shared" si="3"/>
        <v>470.20041069386872</v>
      </c>
    </row>
    <row r="39" spans="1:6" ht="18" x14ac:dyDescent="0.35">
      <c r="A39" s="390" t="s">
        <v>140</v>
      </c>
      <c r="B39" s="391"/>
      <c r="C39" s="391"/>
      <c r="D39" s="168">
        <f t="shared" si="4"/>
        <v>32.214665909171636</v>
      </c>
      <c r="E39" s="41">
        <f t="shared" si="2"/>
        <v>2.9992964811987388</v>
      </c>
      <c r="F39" s="28">
        <f t="shared" si="3"/>
        <v>29.215369427972899</v>
      </c>
    </row>
    <row r="40" spans="1:6" x14ac:dyDescent="0.25">
      <c r="A40" s="405" t="s">
        <v>226</v>
      </c>
      <c r="B40" s="406"/>
      <c r="C40" s="406"/>
      <c r="D40" s="168">
        <f t="shared" si="4"/>
        <v>3438.9423211380522</v>
      </c>
      <c r="E40" s="41">
        <f t="shared" si="2"/>
        <v>320.17738851974968</v>
      </c>
      <c r="F40" s="28">
        <f t="shared" si="3"/>
        <v>3118.7649326183027</v>
      </c>
    </row>
    <row r="41" spans="1:6" x14ac:dyDescent="0.25">
      <c r="A41" s="405" t="s">
        <v>227</v>
      </c>
      <c r="B41" s="406"/>
      <c r="C41" s="406"/>
      <c r="D41" s="168">
        <f t="shared" si="4"/>
        <v>106.11523065725234</v>
      </c>
      <c r="E41" s="41">
        <f t="shared" si="2"/>
        <v>9.8796938887786663</v>
      </c>
      <c r="F41" s="28">
        <f t="shared" si="3"/>
        <v>96.235536768473679</v>
      </c>
    </row>
    <row r="42" spans="1:6" ht="18" x14ac:dyDescent="0.35">
      <c r="A42" s="405" t="s">
        <v>182</v>
      </c>
      <c r="B42" s="406"/>
      <c r="C42" s="406"/>
      <c r="D42" s="168">
        <f t="shared" si="4"/>
        <v>3376633.8983796951</v>
      </c>
      <c r="E42" s="41">
        <f t="shared" si="2"/>
        <v>314376.25950431649</v>
      </c>
      <c r="F42" s="28">
        <f t="shared" si="3"/>
        <v>3062257.6388753788</v>
      </c>
    </row>
    <row r="43" spans="1:6" x14ac:dyDescent="0.25">
      <c r="A43" s="390" t="s">
        <v>305</v>
      </c>
      <c r="B43" s="391"/>
      <c r="C43" s="391"/>
      <c r="D43" s="168">
        <f t="shared" si="4"/>
        <v>3384.0098988675763</v>
      </c>
      <c r="E43" s="41">
        <f t="shared" si="2"/>
        <v>315.06299058422263</v>
      </c>
      <c r="F43" s="28">
        <f t="shared" si="3"/>
        <v>3068.9469082833539</v>
      </c>
    </row>
    <row r="44" spans="1:6" x14ac:dyDescent="0.25">
      <c r="A44" s="405" t="s">
        <v>318</v>
      </c>
      <c r="B44" s="406"/>
      <c r="C44" s="406"/>
      <c r="D44" s="168">
        <f>CONVERT((0.0051*D4*D5*D6*D7),"g","lbm")</f>
        <v>15.590735135161113</v>
      </c>
      <c r="E44" s="41">
        <f t="shared" si="2"/>
        <v>1.4515512022391381</v>
      </c>
      <c r="F44" s="28">
        <f t="shared" ref="F44:F45" si="5">D44*(1-(2.7/29))</f>
        <v>14.139183932921975</v>
      </c>
    </row>
    <row r="45" spans="1:6" ht="15.75" thickBot="1" x14ac:dyDescent="0.3">
      <c r="A45" s="398" t="s">
        <v>319</v>
      </c>
      <c r="B45" s="399"/>
      <c r="C45" s="399"/>
      <c r="D45" s="179">
        <f>CONVERT((0.0048*D5*D6*D7*D4),"g","lbm")</f>
        <v>14.673633068386929</v>
      </c>
      <c r="E45" s="44">
        <f t="shared" si="2"/>
        <v>1.3661658374015417</v>
      </c>
      <c r="F45" s="174">
        <f t="shared" si="5"/>
        <v>13.307467230985388</v>
      </c>
    </row>
    <row r="46" spans="1:6" x14ac:dyDescent="0.25">
      <c r="A46" s="319"/>
      <c r="B46" s="320"/>
      <c r="C46" s="320"/>
      <c r="D46" s="306"/>
    </row>
    <row r="47" spans="1:6" x14ac:dyDescent="0.25">
      <c r="A47" s="454" t="s">
        <v>221</v>
      </c>
      <c r="B47" s="455"/>
      <c r="C47" s="72"/>
    </row>
    <row r="48" spans="1:6" x14ac:dyDescent="0.25">
      <c r="A48" s="448" t="s">
        <v>222</v>
      </c>
      <c r="B48" s="449"/>
      <c r="C48" s="449"/>
    </row>
    <row r="49" spans="1:3" x14ac:dyDescent="0.25">
      <c r="A49" s="448" t="s">
        <v>223</v>
      </c>
      <c r="B49" s="449"/>
      <c r="C49" s="449"/>
    </row>
    <row r="50" spans="1:3" x14ac:dyDescent="0.25">
      <c r="A50" s="448" t="s">
        <v>224</v>
      </c>
      <c r="B50" s="449"/>
      <c r="C50" s="449"/>
    </row>
    <row r="51" spans="1:3" x14ac:dyDescent="0.25">
      <c r="A51" s="448" t="s">
        <v>225</v>
      </c>
      <c r="B51" s="449"/>
      <c r="C51" s="449"/>
    </row>
  </sheetData>
  <mergeCells count="50">
    <mergeCell ref="A50:C50"/>
    <mergeCell ref="A51:C51"/>
    <mergeCell ref="A39:C39"/>
    <mergeCell ref="A40:C40"/>
    <mergeCell ref="A41:C41"/>
    <mergeCell ref="A42:C42"/>
    <mergeCell ref="A43:C43"/>
    <mergeCell ref="A44:C44"/>
    <mergeCell ref="A45:C45"/>
    <mergeCell ref="A47:B47"/>
    <mergeCell ref="A48:C48"/>
    <mergeCell ref="A49:C49"/>
    <mergeCell ref="A35:C35"/>
    <mergeCell ref="A36:C36"/>
    <mergeCell ref="A37:C37"/>
    <mergeCell ref="A38:C38"/>
    <mergeCell ref="A31:C31"/>
    <mergeCell ref="A32:C32"/>
    <mergeCell ref="A33:C33"/>
    <mergeCell ref="A34:C34"/>
    <mergeCell ref="A28:C28"/>
    <mergeCell ref="A29:D29"/>
    <mergeCell ref="A30:C30"/>
    <mergeCell ref="A24:C24"/>
    <mergeCell ref="A25:C25"/>
    <mergeCell ref="A26:C26"/>
    <mergeCell ref="A27:C27"/>
    <mergeCell ref="A20:C20"/>
    <mergeCell ref="A21:C21"/>
    <mergeCell ref="A22:C22"/>
    <mergeCell ref="A23:C23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A8:D8"/>
    <mergeCell ref="E8:F8"/>
    <mergeCell ref="A9:C9"/>
    <mergeCell ref="A5:C5"/>
    <mergeCell ref="A6:C6"/>
    <mergeCell ref="A7:C7"/>
    <mergeCell ref="A2:D2"/>
    <mergeCell ref="A3:C3"/>
    <mergeCell ref="A4:C4"/>
  </mergeCells>
  <pageMargins left="0.7" right="0.7" top="0.75" bottom="0.75" header="0.3" footer="0.3"/>
  <pageSetup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S48"/>
  <sheetViews>
    <sheetView zoomScaleNormal="100" workbookViewId="0">
      <selection activeCell="R16" sqref="R16"/>
    </sheetView>
  </sheetViews>
  <sheetFormatPr defaultRowHeight="15" x14ac:dyDescent="0.25"/>
  <cols>
    <col min="3" max="3" width="21.7109375" customWidth="1"/>
    <col min="4" max="4" width="14.140625" customWidth="1"/>
    <col min="7" max="7" width="9.140625" customWidth="1"/>
    <col min="8" max="8" width="13" customWidth="1"/>
    <col min="11" max="11" width="12.5703125" customWidth="1"/>
    <col min="12" max="12" width="14.140625" customWidth="1"/>
    <col min="15" max="15" width="10.140625" customWidth="1"/>
    <col min="18" max="18" width="8.7109375" customWidth="1"/>
    <col min="19" max="19" width="15.28515625" bestFit="1" customWidth="1"/>
  </cols>
  <sheetData>
    <row r="1" spans="1:19" ht="27" customHeight="1" thickBot="1" x14ac:dyDescent="0.3">
      <c r="A1" s="252" t="s">
        <v>273</v>
      </c>
    </row>
    <row r="2" spans="1:19" ht="15.75" thickBot="1" x14ac:dyDescent="0.3">
      <c r="B2" s="491" t="s">
        <v>122</v>
      </c>
      <c r="C2" s="492"/>
      <c r="D2" s="493"/>
      <c r="H2" s="491" t="s">
        <v>122</v>
      </c>
      <c r="I2" s="492"/>
      <c r="J2" s="492"/>
      <c r="K2" s="492"/>
      <c r="L2" s="493"/>
    </row>
    <row r="3" spans="1:19" ht="43.5" customHeight="1" thickBot="1" x14ac:dyDescent="0.3">
      <c r="B3" s="555" t="s">
        <v>82</v>
      </c>
      <c r="C3" s="555"/>
      <c r="D3" s="555" t="s">
        <v>336</v>
      </c>
      <c r="H3" s="508" t="s">
        <v>105</v>
      </c>
      <c r="I3" s="509"/>
      <c r="J3" s="509"/>
      <c r="K3" s="510"/>
      <c r="L3" s="510" t="s">
        <v>336</v>
      </c>
    </row>
    <row r="4" spans="1:19" ht="16.5" customHeight="1" thickBot="1" x14ac:dyDescent="0.3">
      <c r="B4" s="556"/>
      <c r="C4" s="556"/>
      <c r="D4" s="556"/>
      <c r="E4" s="553" t="s">
        <v>100</v>
      </c>
      <c r="F4" s="554"/>
      <c r="H4" s="426"/>
      <c r="I4" s="427"/>
      <c r="J4" s="427"/>
      <c r="K4" s="511"/>
      <c r="L4" s="427"/>
      <c r="M4" s="521" t="s">
        <v>100</v>
      </c>
      <c r="N4" s="522"/>
      <c r="O4" s="522"/>
      <c r="P4" s="523"/>
      <c r="Q4" s="106"/>
    </row>
    <row r="5" spans="1:19" ht="18" customHeight="1" x14ac:dyDescent="0.25">
      <c r="B5" s="547" t="s">
        <v>55</v>
      </c>
      <c r="C5" s="548"/>
      <c r="D5" s="338">
        <f>R17</f>
        <v>56.213809342101833</v>
      </c>
      <c r="E5" s="557" t="s">
        <v>85</v>
      </c>
      <c r="F5" s="558"/>
      <c r="G5" s="25"/>
      <c r="H5" s="517" t="s">
        <v>106</v>
      </c>
      <c r="I5" s="518"/>
      <c r="J5" s="518"/>
      <c r="K5" s="518"/>
      <c r="L5" s="157">
        <v>299000</v>
      </c>
      <c r="M5" s="479" t="s">
        <v>102</v>
      </c>
      <c r="N5" s="479"/>
      <c r="O5" s="479"/>
      <c r="P5" s="480"/>
      <c r="Q5" s="70"/>
    </row>
    <row r="6" spans="1:19" x14ac:dyDescent="0.25">
      <c r="B6" s="549" t="s">
        <v>86</v>
      </c>
      <c r="C6" s="550"/>
      <c r="D6" s="87">
        <v>1.0269999999999999E-3</v>
      </c>
      <c r="E6" s="559" t="s">
        <v>87</v>
      </c>
      <c r="F6" s="560"/>
      <c r="H6" s="519"/>
      <c r="I6" s="520"/>
      <c r="J6" s="520"/>
      <c r="K6" s="520"/>
      <c r="L6" s="110">
        <f>L5*0.907</f>
        <v>271193</v>
      </c>
      <c r="M6" s="483" t="s">
        <v>101</v>
      </c>
      <c r="N6" s="483"/>
      <c r="O6" s="483"/>
      <c r="P6" s="484"/>
      <c r="Q6" s="70"/>
    </row>
    <row r="7" spans="1:19" x14ac:dyDescent="0.25">
      <c r="B7" s="549" t="s">
        <v>89</v>
      </c>
      <c r="C7" s="550"/>
      <c r="D7" s="88">
        <f>L14*R15/D6</f>
        <v>479486825.54704195</v>
      </c>
      <c r="E7" s="559" t="s">
        <v>88</v>
      </c>
      <c r="F7" s="560"/>
      <c r="H7" s="514" t="s">
        <v>84</v>
      </c>
      <c r="I7" s="488"/>
      <c r="J7" s="488"/>
      <c r="K7" s="488"/>
      <c r="L7" s="269">
        <v>0</v>
      </c>
      <c r="M7" s="483"/>
      <c r="N7" s="483"/>
      <c r="O7" s="483"/>
      <c r="P7" s="484"/>
      <c r="Q7" s="70"/>
      <c r="R7" t="s">
        <v>314</v>
      </c>
      <c r="S7" s="67"/>
    </row>
    <row r="8" spans="1:19" ht="18" x14ac:dyDescent="0.35">
      <c r="B8" s="549" t="s">
        <v>91</v>
      </c>
      <c r="C8" s="550"/>
      <c r="D8" s="87">
        <v>53.02</v>
      </c>
      <c r="E8" s="559" t="s">
        <v>90</v>
      </c>
      <c r="F8" s="560"/>
      <c r="H8" s="514" t="s">
        <v>107</v>
      </c>
      <c r="I8" s="488"/>
      <c r="J8" s="488"/>
      <c r="K8" s="488"/>
      <c r="L8" s="110">
        <f>L6*L7</f>
        <v>0</v>
      </c>
      <c r="M8" s="483" t="s">
        <v>101</v>
      </c>
      <c r="N8" s="483"/>
      <c r="O8" s="483"/>
      <c r="P8" s="484"/>
      <c r="Q8" s="70"/>
      <c r="R8">
        <v>819</v>
      </c>
    </row>
    <row r="9" spans="1:19" ht="18" x14ac:dyDescent="0.35">
      <c r="B9" s="549" t="s">
        <v>93</v>
      </c>
      <c r="C9" s="550"/>
      <c r="D9" s="87">
        <v>1E-3</v>
      </c>
      <c r="E9" s="559" t="s">
        <v>92</v>
      </c>
      <c r="F9" s="560"/>
      <c r="H9" s="514" t="s">
        <v>108</v>
      </c>
      <c r="I9" s="488"/>
      <c r="J9" s="488"/>
      <c r="K9" s="488"/>
      <c r="L9" s="263">
        <v>0</v>
      </c>
      <c r="M9" s="483" t="s">
        <v>101</v>
      </c>
      <c r="N9" s="483"/>
      <c r="O9" s="483"/>
      <c r="P9" s="484"/>
      <c r="Q9" s="70"/>
    </row>
    <row r="10" spans="1:19" ht="18.75" thickBot="1" x14ac:dyDescent="0.4">
      <c r="B10" s="565" t="s">
        <v>95</v>
      </c>
      <c r="C10" s="566"/>
      <c r="D10" s="89">
        <v>1E-4</v>
      </c>
      <c r="E10" s="561" t="s">
        <v>94</v>
      </c>
      <c r="F10" s="562"/>
      <c r="H10" s="514" t="s">
        <v>109</v>
      </c>
      <c r="I10" s="488"/>
      <c r="J10" s="488"/>
      <c r="K10" s="488"/>
      <c r="L10" s="263">
        <v>0.78480000000000005</v>
      </c>
      <c r="M10" s="483" t="s">
        <v>103</v>
      </c>
      <c r="N10" s="483"/>
      <c r="O10" s="483"/>
      <c r="P10" s="484"/>
      <c r="Q10" s="70"/>
    </row>
    <row r="11" spans="1:19" ht="18" x14ac:dyDescent="0.35">
      <c r="B11" s="533"/>
      <c r="C11" s="534"/>
      <c r="D11" s="534"/>
      <c r="E11" s="534"/>
      <c r="F11" s="535"/>
      <c r="H11" s="514" t="s">
        <v>110</v>
      </c>
      <c r="I11" s="488"/>
      <c r="J11" s="488"/>
      <c r="K11" s="488"/>
      <c r="L11" s="263">
        <v>1.0918000000000001</v>
      </c>
      <c r="M11" s="483" t="s">
        <v>104</v>
      </c>
      <c r="N11" s="483"/>
      <c r="O11" s="483"/>
      <c r="P11" s="484"/>
      <c r="Q11" s="70"/>
    </row>
    <row r="12" spans="1:19" ht="15.75" thickBot="1" x14ac:dyDescent="0.3">
      <c r="B12" s="536"/>
      <c r="C12" s="537"/>
      <c r="D12" s="537"/>
      <c r="E12" s="537"/>
      <c r="F12" s="538"/>
      <c r="H12" s="514" t="s">
        <v>113</v>
      </c>
      <c r="I12" s="488"/>
      <c r="J12" s="488"/>
      <c r="K12" s="488"/>
      <c r="L12" s="269">
        <v>0.53759999999999997</v>
      </c>
      <c r="M12" s="483"/>
      <c r="N12" s="483"/>
      <c r="O12" s="483"/>
      <c r="P12" s="484"/>
      <c r="Q12" s="70"/>
    </row>
    <row r="13" spans="1:19" ht="20.100000000000001" customHeight="1" thickTop="1" x14ac:dyDescent="0.25">
      <c r="B13" s="496" t="s">
        <v>96</v>
      </c>
      <c r="C13" s="497"/>
      <c r="D13" s="90">
        <f>D16/24/365</f>
        <v>2.9804561713182389</v>
      </c>
      <c r="E13" s="502" t="s">
        <v>154</v>
      </c>
      <c r="F13" s="503"/>
      <c r="H13" s="512" t="s">
        <v>114</v>
      </c>
      <c r="I13" s="513"/>
      <c r="J13" s="513"/>
      <c r="K13" s="513"/>
      <c r="L13" s="269">
        <v>8.3999999999999995E-3</v>
      </c>
      <c r="M13" s="483"/>
      <c r="N13" s="483"/>
      <c r="O13" s="483"/>
      <c r="P13" s="484"/>
      <c r="Q13" s="70"/>
      <c r="R13" t="s">
        <v>320</v>
      </c>
    </row>
    <row r="14" spans="1:19" ht="20.100000000000001" customHeight="1" x14ac:dyDescent="0.35">
      <c r="B14" s="494" t="s">
        <v>98</v>
      </c>
      <c r="C14" s="495"/>
      <c r="D14" s="85">
        <f t="shared" ref="D14" si="0">D17/24/365</f>
        <v>5.6213809342101833E-5</v>
      </c>
      <c r="E14" s="500" t="s">
        <v>154</v>
      </c>
      <c r="F14" s="501"/>
      <c r="H14" s="514" t="s">
        <v>116</v>
      </c>
      <c r="I14" s="488"/>
      <c r="J14" s="488"/>
      <c r="K14" s="488"/>
      <c r="L14" s="110">
        <f>L6*L12</f>
        <v>145793.35679999998</v>
      </c>
      <c r="M14" s="483" t="s">
        <v>97</v>
      </c>
      <c r="N14" s="483"/>
      <c r="O14" s="483"/>
      <c r="P14" s="484"/>
      <c r="Q14" s="70"/>
      <c r="R14">
        <v>3560</v>
      </c>
      <c r="S14" t="s">
        <v>321</v>
      </c>
    </row>
    <row r="15" spans="1:19" ht="20.100000000000001" customHeight="1" thickBot="1" x14ac:dyDescent="0.4">
      <c r="B15" s="498" t="s">
        <v>99</v>
      </c>
      <c r="C15" s="499"/>
      <c r="D15" s="91">
        <f>D18/24/365</f>
        <v>5.6213809342101833E-6</v>
      </c>
      <c r="E15" s="504" t="s">
        <v>154</v>
      </c>
      <c r="F15" s="505"/>
      <c r="H15" s="514" t="s">
        <v>115</v>
      </c>
      <c r="I15" s="488"/>
      <c r="J15" s="488"/>
      <c r="K15" s="488"/>
      <c r="L15" s="123">
        <f>L6*L13</f>
        <v>2278.0211999999997</v>
      </c>
      <c r="M15" s="483" t="s">
        <v>97</v>
      </c>
      <c r="N15" s="483"/>
      <c r="O15" s="483"/>
      <c r="P15" s="484"/>
      <c r="Q15" s="70"/>
      <c r="R15" s="327">
        <f>R14/1.054/0.001/1000000</f>
        <v>3.3776091081593926</v>
      </c>
      <c r="S15" t="s">
        <v>322</v>
      </c>
    </row>
    <row r="16" spans="1:19" ht="18" x14ac:dyDescent="0.35">
      <c r="B16" s="551" t="s">
        <v>96</v>
      </c>
      <c r="C16" s="552"/>
      <c r="D16" s="92">
        <f>1*10^-3*$D$7*$D$6*D8</f>
        <v>26108.796060747776</v>
      </c>
      <c r="E16" s="563" t="s">
        <v>97</v>
      </c>
      <c r="F16" s="564"/>
      <c r="H16" s="514" t="s">
        <v>117</v>
      </c>
      <c r="I16" s="488"/>
      <c r="J16" s="488"/>
      <c r="K16" s="488"/>
      <c r="L16" s="263">
        <f>L8*L12</f>
        <v>0</v>
      </c>
      <c r="M16" s="483" t="s">
        <v>97</v>
      </c>
      <c r="N16" s="483"/>
      <c r="O16" s="483"/>
      <c r="P16" s="484"/>
      <c r="Q16" s="70"/>
    </row>
    <row r="17" spans="2:19" ht="18.75" thickBot="1" x14ac:dyDescent="0.4">
      <c r="B17" s="494" t="s">
        <v>98</v>
      </c>
      <c r="C17" s="495"/>
      <c r="D17" s="85">
        <f>1*10^-3*$D$7*$D$6*D9</f>
        <v>0.49243296983681206</v>
      </c>
      <c r="E17" s="500" t="s">
        <v>97</v>
      </c>
      <c r="F17" s="501"/>
      <c r="H17" s="542" t="s">
        <v>118</v>
      </c>
      <c r="I17" s="543"/>
      <c r="J17" s="543"/>
      <c r="K17" s="543"/>
      <c r="L17" s="256">
        <f>L8*L13</f>
        <v>0</v>
      </c>
      <c r="M17" s="528" t="s">
        <v>97</v>
      </c>
      <c r="N17" s="528"/>
      <c r="O17" s="528"/>
      <c r="P17" s="529"/>
      <c r="Q17" s="70"/>
      <c r="R17" s="328">
        <f>R15*L14/8760</f>
        <v>56.213809342101833</v>
      </c>
      <c r="S17" t="s">
        <v>323</v>
      </c>
    </row>
    <row r="18" spans="2:19" ht="18.75" thickBot="1" x14ac:dyDescent="0.3">
      <c r="B18" s="515" t="s">
        <v>99</v>
      </c>
      <c r="C18" s="516"/>
      <c r="D18" s="95">
        <f>1*10^-3*$D$7*$D$6*D10</f>
        <v>4.9243296983681205E-2</v>
      </c>
      <c r="E18" s="96" t="s">
        <v>97</v>
      </c>
      <c r="F18" s="97"/>
      <c r="H18" s="533"/>
      <c r="I18" s="534"/>
      <c r="J18" s="534"/>
      <c r="K18" s="534"/>
      <c r="L18" s="534"/>
      <c r="M18" s="534"/>
      <c r="N18" s="534"/>
      <c r="O18" s="534"/>
      <c r="P18" s="535"/>
      <c r="Q18" s="69"/>
    </row>
    <row r="19" spans="2:19" ht="15.75" thickTop="1" x14ac:dyDescent="0.25">
      <c r="B19" s="39"/>
      <c r="C19" s="39"/>
      <c r="H19" s="536"/>
      <c r="I19" s="537"/>
      <c r="J19" s="537"/>
      <c r="K19" s="537"/>
      <c r="L19" s="537"/>
      <c r="M19" s="537"/>
      <c r="N19" s="537"/>
      <c r="O19" s="537"/>
      <c r="P19" s="538"/>
      <c r="Q19" s="69"/>
    </row>
    <row r="20" spans="2:19" ht="15.75" thickBot="1" x14ac:dyDescent="0.3">
      <c r="B20" s="478"/>
      <c r="C20" s="478"/>
      <c r="D20" s="478"/>
      <c r="H20" s="536"/>
      <c r="I20" s="537"/>
      <c r="J20" s="537"/>
      <c r="K20" s="537"/>
      <c r="L20" s="537"/>
      <c r="M20" s="537"/>
      <c r="N20" s="537"/>
      <c r="O20" s="537"/>
      <c r="P20" s="538"/>
      <c r="Q20" s="69"/>
    </row>
    <row r="21" spans="2:19" ht="15.75" thickBot="1" x14ac:dyDescent="0.3">
      <c r="B21" s="460" t="s">
        <v>136</v>
      </c>
      <c r="C21" s="461"/>
      <c r="D21" s="461"/>
      <c r="E21" s="521" t="s">
        <v>100</v>
      </c>
      <c r="F21" s="523"/>
      <c r="H21" s="539"/>
      <c r="I21" s="540"/>
      <c r="J21" s="540"/>
      <c r="K21" s="540"/>
      <c r="L21" s="540"/>
      <c r="M21" s="540"/>
      <c r="N21" s="540"/>
      <c r="O21" s="540"/>
      <c r="P21" s="541"/>
      <c r="Q21" s="69"/>
    </row>
    <row r="22" spans="2:19" ht="18" x14ac:dyDescent="0.35">
      <c r="B22" s="481" t="s">
        <v>343</v>
      </c>
      <c r="C22" s="482"/>
      <c r="D22" s="339">
        <f>D31/D7*1000000*8760</f>
        <v>54.808596607461318</v>
      </c>
      <c r="E22" s="479" t="s">
        <v>155</v>
      </c>
      <c r="F22" s="480"/>
      <c r="H22" s="506" t="s">
        <v>119</v>
      </c>
      <c r="I22" s="507"/>
      <c r="J22" s="507"/>
      <c r="K22" s="507"/>
      <c r="L22" s="157">
        <f>((L10*L12)+(L11*L13))</f>
        <v>0.43107960000000001</v>
      </c>
      <c r="M22" s="479" t="s">
        <v>112</v>
      </c>
      <c r="N22" s="479"/>
      <c r="O22" s="479"/>
      <c r="P22" s="480"/>
      <c r="Q22" s="70"/>
      <c r="S22" s="321"/>
    </row>
    <row r="23" spans="2:19" ht="18" x14ac:dyDescent="0.35">
      <c r="B23" s="514" t="s">
        <v>337</v>
      </c>
      <c r="C23" s="488"/>
      <c r="D23" s="68">
        <v>2.2000000000000002</v>
      </c>
      <c r="E23" s="483" t="s">
        <v>155</v>
      </c>
      <c r="F23" s="484"/>
      <c r="H23" s="514" t="s">
        <v>111</v>
      </c>
      <c r="I23" s="488"/>
      <c r="J23" s="488"/>
      <c r="K23" s="488"/>
      <c r="L23" s="270">
        <v>0</v>
      </c>
      <c r="M23" s="483" t="s">
        <v>112</v>
      </c>
      <c r="N23" s="483"/>
      <c r="O23" s="483"/>
      <c r="P23" s="484"/>
      <c r="Q23" s="70"/>
      <c r="S23" s="66"/>
    </row>
    <row r="24" spans="2:19" ht="18.75" thickBot="1" x14ac:dyDescent="0.4">
      <c r="B24" s="514" t="s">
        <v>344</v>
      </c>
      <c r="C24" s="488"/>
      <c r="D24" s="340">
        <f>D33/D7*1000000*8760</f>
        <v>10.961719321492263</v>
      </c>
      <c r="E24" s="483" t="s">
        <v>155</v>
      </c>
      <c r="F24" s="484"/>
      <c r="H24" s="526" t="s">
        <v>120</v>
      </c>
      <c r="I24" s="527"/>
      <c r="J24" s="527"/>
      <c r="K24" s="527"/>
      <c r="L24" s="271">
        <f>((L10*L12)+(L11*L13))*L8</f>
        <v>0</v>
      </c>
      <c r="M24" s="528" t="s">
        <v>112</v>
      </c>
      <c r="N24" s="528"/>
      <c r="O24" s="528"/>
      <c r="P24" s="529"/>
      <c r="Q24" s="70"/>
    </row>
    <row r="25" spans="2:19" ht="18" x14ac:dyDescent="0.35">
      <c r="B25" s="514" t="s">
        <v>338</v>
      </c>
      <c r="C25" s="488"/>
      <c r="D25" s="68">
        <v>0.6</v>
      </c>
      <c r="E25" s="483" t="s">
        <v>155</v>
      </c>
      <c r="F25" s="484"/>
      <c r="H25" s="533"/>
      <c r="I25" s="534"/>
      <c r="J25" s="534"/>
      <c r="K25" s="534"/>
      <c r="L25" s="534"/>
      <c r="M25" s="534"/>
      <c r="N25" s="534"/>
      <c r="O25" s="534"/>
      <c r="P25" s="535"/>
      <c r="Q25" s="69"/>
    </row>
    <row r="26" spans="2:19" ht="18.75" thickBot="1" x14ac:dyDescent="0.4">
      <c r="B26" s="514" t="s">
        <v>339</v>
      </c>
      <c r="C26" s="488"/>
      <c r="D26" s="68">
        <v>7.6</v>
      </c>
      <c r="E26" s="483" t="s">
        <v>155</v>
      </c>
      <c r="F26" s="484"/>
      <c r="H26" s="536"/>
      <c r="I26" s="537"/>
      <c r="J26" s="537"/>
      <c r="K26" s="537"/>
      <c r="L26" s="537"/>
      <c r="M26" s="537"/>
      <c r="N26" s="537"/>
      <c r="O26" s="537"/>
      <c r="P26" s="538"/>
      <c r="Q26" s="69"/>
    </row>
    <row r="27" spans="2:19" ht="18.75" thickTop="1" x14ac:dyDescent="0.35">
      <c r="B27" s="514" t="s">
        <v>340</v>
      </c>
      <c r="C27" s="488"/>
      <c r="D27" s="68">
        <v>7.6</v>
      </c>
      <c r="E27" s="483" t="s">
        <v>155</v>
      </c>
      <c r="F27" s="484"/>
      <c r="H27" s="544" t="s">
        <v>121</v>
      </c>
      <c r="I27" s="545"/>
      <c r="J27" s="545"/>
      <c r="K27" s="546"/>
      <c r="L27" s="94">
        <f>L28/24/365</f>
        <v>13.345407529999999</v>
      </c>
      <c r="M27" s="570" t="s">
        <v>154</v>
      </c>
      <c r="N27" s="571"/>
      <c r="O27" s="571"/>
      <c r="P27" s="572"/>
      <c r="Q27" s="71"/>
    </row>
    <row r="28" spans="2:19" ht="18.75" thickBot="1" x14ac:dyDescent="0.4">
      <c r="B28" s="514" t="s">
        <v>341</v>
      </c>
      <c r="C28" s="488"/>
      <c r="D28" s="68">
        <v>11</v>
      </c>
      <c r="E28" s="483" t="s">
        <v>155</v>
      </c>
      <c r="F28" s="484"/>
      <c r="H28" s="524" t="s">
        <v>121</v>
      </c>
      <c r="I28" s="525"/>
      <c r="J28" s="525"/>
      <c r="K28" s="525"/>
      <c r="L28" s="93">
        <f>(L22*L6)+(L23*L9)+L24</f>
        <v>116905.7699628</v>
      </c>
      <c r="M28" s="530" t="s">
        <v>97</v>
      </c>
      <c r="N28" s="531"/>
      <c r="O28" s="531"/>
      <c r="P28" s="532"/>
      <c r="Q28" s="71"/>
      <c r="S28" s="329"/>
    </row>
    <row r="29" spans="2:19" ht="16.5" thickTop="1" thickBot="1" x14ac:dyDescent="0.3">
      <c r="B29" s="573" t="s">
        <v>342</v>
      </c>
      <c r="C29" s="574"/>
      <c r="D29" s="101">
        <v>5.5</v>
      </c>
      <c r="E29" s="476" t="s">
        <v>155</v>
      </c>
      <c r="F29" s="477"/>
    </row>
    <row r="30" spans="2:19" ht="16.5" thickTop="1" thickBot="1" x14ac:dyDescent="0.3">
      <c r="B30" s="567" t="s">
        <v>164</v>
      </c>
      <c r="C30" s="568"/>
      <c r="D30" s="568"/>
      <c r="E30" s="568"/>
      <c r="F30" s="569"/>
      <c r="H30" s="417" t="s">
        <v>166</v>
      </c>
      <c r="I30" s="418"/>
      <c r="J30" s="418"/>
      <c r="K30" s="418"/>
      <c r="L30" s="418"/>
      <c r="M30" s="418"/>
      <c r="N30" s="418"/>
      <c r="O30" s="418"/>
      <c r="P30" s="418"/>
      <c r="Q30" s="418"/>
      <c r="R30" s="419"/>
    </row>
    <row r="31" spans="2:19" ht="18.75" thickTop="1" x14ac:dyDescent="0.35">
      <c r="B31" s="485" t="s">
        <v>308</v>
      </c>
      <c r="C31" s="486"/>
      <c r="D31" s="316">
        <v>3</v>
      </c>
      <c r="E31" s="466" t="s">
        <v>162</v>
      </c>
      <c r="F31" s="467"/>
      <c r="H31" s="253" t="s">
        <v>100</v>
      </c>
      <c r="I31" s="107" t="s">
        <v>150</v>
      </c>
      <c r="J31" s="107" t="s">
        <v>143</v>
      </c>
      <c r="K31" s="107" t="s">
        <v>151</v>
      </c>
      <c r="L31" s="107" t="s">
        <v>152</v>
      </c>
      <c r="M31" s="107" t="s">
        <v>153</v>
      </c>
      <c r="N31" s="107" t="s">
        <v>144</v>
      </c>
      <c r="O31" s="107" t="s">
        <v>167</v>
      </c>
      <c r="P31" s="107" t="s">
        <v>168</v>
      </c>
      <c r="Q31" s="107" t="s">
        <v>13</v>
      </c>
      <c r="R31" s="108" t="s">
        <v>14</v>
      </c>
    </row>
    <row r="32" spans="2:19" ht="18" x14ac:dyDescent="0.35">
      <c r="B32" s="487" t="s">
        <v>156</v>
      </c>
      <c r="C32" s="488"/>
      <c r="D32" s="98">
        <f t="shared" ref="D32:D38" si="1">D41/24/365</f>
        <v>0.12041906577665436</v>
      </c>
      <c r="E32" s="468" t="s">
        <v>162</v>
      </c>
      <c r="F32" s="469"/>
      <c r="H32" s="262" t="s">
        <v>145</v>
      </c>
      <c r="I32" s="98">
        <f>D31</f>
        <v>3</v>
      </c>
      <c r="J32" s="98">
        <f>D33</f>
        <v>0.6</v>
      </c>
      <c r="K32" s="98">
        <f>D34</f>
        <v>3.2841563393633005E-2</v>
      </c>
      <c r="L32" s="98">
        <f>D35</f>
        <v>0.41599313631935142</v>
      </c>
      <c r="M32" s="98">
        <f>D36</f>
        <v>0.41599313631935142</v>
      </c>
      <c r="N32" s="98">
        <f>D37</f>
        <v>0.60209532888327177</v>
      </c>
      <c r="O32" s="98">
        <f>D38</f>
        <v>0.30104766444163589</v>
      </c>
      <c r="P32" s="266" t="s">
        <v>149</v>
      </c>
      <c r="Q32" s="266" t="s">
        <v>149</v>
      </c>
      <c r="R32" s="78" t="s">
        <v>149</v>
      </c>
    </row>
    <row r="33" spans="2:18" x14ac:dyDescent="0.25">
      <c r="B33" s="487" t="s">
        <v>309</v>
      </c>
      <c r="C33" s="488"/>
      <c r="D33" s="98">
        <v>0.6</v>
      </c>
      <c r="E33" s="468" t="s">
        <v>162</v>
      </c>
      <c r="F33" s="469"/>
      <c r="H33" s="262" t="s">
        <v>146</v>
      </c>
      <c r="I33" s="98">
        <f>D40</f>
        <v>26280</v>
      </c>
      <c r="J33" s="98">
        <f>D42</f>
        <v>5255.9999999999991</v>
      </c>
      <c r="K33" s="98">
        <f>D43</f>
        <v>287.69209532822515</v>
      </c>
      <c r="L33" s="98">
        <f>D44</f>
        <v>3644.0998741575186</v>
      </c>
      <c r="M33" s="98">
        <f>D45</f>
        <v>3644.0998741575186</v>
      </c>
      <c r="N33" s="98">
        <f>D46</f>
        <v>5274.3550810174611</v>
      </c>
      <c r="O33" s="98">
        <f>D47</f>
        <v>2637.1775405087305</v>
      </c>
      <c r="P33" s="266" t="s">
        <v>149</v>
      </c>
      <c r="Q33" s="266" t="s">
        <v>149</v>
      </c>
      <c r="R33" s="78" t="s">
        <v>149</v>
      </c>
    </row>
    <row r="34" spans="2:18" ht="18" x14ac:dyDescent="0.35">
      <c r="B34" s="487" t="s">
        <v>157</v>
      </c>
      <c r="C34" s="488"/>
      <c r="D34" s="98">
        <f t="shared" si="1"/>
        <v>3.2841563393633005E-2</v>
      </c>
      <c r="E34" s="468" t="s">
        <v>162</v>
      </c>
      <c r="F34" s="469"/>
      <c r="H34" s="310" t="s">
        <v>263</v>
      </c>
      <c r="I34" s="263">
        <f>CONVERT(I33,"lbm","ton")</f>
        <v>13.14</v>
      </c>
      <c r="J34" s="263">
        <f t="shared" ref="J34:O34" si="2">CONVERT(J33,"lbm","ton")</f>
        <v>2.6279999999999997</v>
      </c>
      <c r="K34" s="263">
        <f t="shared" si="2"/>
        <v>0.14384604766411258</v>
      </c>
      <c r="L34" s="263">
        <f t="shared" si="2"/>
        <v>1.8220499370787593</v>
      </c>
      <c r="M34" s="263">
        <f t="shared" si="2"/>
        <v>1.8220499370787593</v>
      </c>
      <c r="N34" s="263">
        <f t="shared" si="2"/>
        <v>2.6371775405087305</v>
      </c>
      <c r="O34" s="263">
        <f t="shared" si="2"/>
        <v>1.3185887702543653</v>
      </c>
      <c r="P34" s="266" t="s">
        <v>149</v>
      </c>
      <c r="Q34" s="266" t="s">
        <v>149</v>
      </c>
      <c r="R34" s="78" t="s">
        <v>149</v>
      </c>
    </row>
    <row r="35" spans="2:18" ht="18" x14ac:dyDescent="0.35">
      <c r="B35" s="487" t="s">
        <v>158</v>
      </c>
      <c r="C35" s="488"/>
      <c r="D35" s="98">
        <f t="shared" si="1"/>
        <v>0.41599313631935142</v>
      </c>
      <c r="E35" s="468" t="s">
        <v>162</v>
      </c>
      <c r="F35" s="469"/>
      <c r="H35" s="262" t="s">
        <v>147</v>
      </c>
      <c r="I35" s="266" t="s">
        <v>149</v>
      </c>
      <c r="J35" s="266" t="s">
        <v>149</v>
      </c>
      <c r="K35" s="266" t="s">
        <v>149</v>
      </c>
      <c r="L35" s="266" t="s">
        <v>149</v>
      </c>
      <c r="M35" s="266" t="s">
        <v>149</v>
      </c>
      <c r="N35" s="266" t="s">
        <v>149</v>
      </c>
      <c r="O35" s="266" t="s">
        <v>149</v>
      </c>
      <c r="P35" s="109">
        <f>D13+L27</f>
        <v>16.325863701318237</v>
      </c>
      <c r="Q35" s="263">
        <f>D14</f>
        <v>5.6213809342101833E-5</v>
      </c>
      <c r="R35" s="264">
        <f>D15+D32</f>
        <v>0.12042468715758857</v>
      </c>
    </row>
    <row r="36" spans="2:18" ht="18" x14ac:dyDescent="0.35">
      <c r="B36" s="487" t="s">
        <v>159</v>
      </c>
      <c r="C36" s="488"/>
      <c r="D36" s="98">
        <f t="shared" si="1"/>
        <v>0.41599313631935142</v>
      </c>
      <c r="E36" s="468" t="s">
        <v>162</v>
      </c>
      <c r="F36" s="469"/>
      <c r="H36" s="262" t="s">
        <v>148</v>
      </c>
      <c r="I36" s="266" t="s">
        <v>149</v>
      </c>
      <c r="J36" s="266" t="s">
        <v>149</v>
      </c>
      <c r="K36" s="266" t="s">
        <v>149</v>
      </c>
      <c r="L36" s="266" t="s">
        <v>149</v>
      </c>
      <c r="M36" s="266" t="s">
        <v>149</v>
      </c>
      <c r="N36" s="266" t="s">
        <v>149</v>
      </c>
      <c r="O36" s="266" t="s">
        <v>149</v>
      </c>
      <c r="P36" s="110">
        <f>L28+D16</f>
        <v>143014.56602354778</v>
      </c>
      <c r="Q36" s="263">
        <f>D17</f>
        <v>0.49243296983681206</v>
      </c>
      <c r="R36" s="264">
        <f>D18</f>
        <v>4.9243296983681205E-2</v>
      </c>
    </row>
    <row r="37" spans="2:18" ht="18.75" thickBot="1" x14ac:dyDescent="0.3">
      <c r="B37" s="487" t="s">
        <v>160</v>
      </c>
      <c r="C37" s="488"/>
      <c r="D37" s="98">
        <f t="shared" si="1"/>
        <v>0.60209532888327177</v>
      </c>
      <c r="E37" s="468" t="s">
        <v>162</v>
      </c>
      <c r="F37" s="469"/>
      <c r="H37" s="255" t="s">
        <v>174</v>
      </c>
      <c r="I37" s="81" t="s">
        <v>149</v>
      </c>
      <c r="J37" s="81" t="s">
        <v>149</v>
      </c>
      <c r="K37" s="81" t="s">
        <v>149</v>
      </c>
      <c r="L37" s="81" t="s">
        <v>149</v>
      </c>
      <c r="M37" s="81" t="s">
        <v>149</v>
      </c>
      <c r="N37" s="81" t="s">
        <v>149</v>
      </c>
      <c r="O37" s="81" t="s">
        <v>149</v>
      </c>
      <c r="P37" s="81" t="s">
        <v>149</v>
      </c>
      <c r="Q37" s="256">
        <f>Q36*25</f>
        <v>12.310824245920301</v>
      </c>
      <c r="R37" s="258">
        <f>R36*298</f>
        <v>14.674502501136999</v>
      </c>
    </row>
    <row r="38" spans="2:18" ht="15.75" thickBot="1" x14ac:dyDescent="0.3">
      <c r="B38" s="489" t="s">
        <v>161</v>
      </c>
      <c r="C38" s="490"/>
      <c r="D38" s="99">
        <f t="shared" si="1"/>
        <v>0.30104766444163589</v>
      </c>
      <c r="E38" s="470" t="s">
        <v>162</v>
      </c>
      <c r="F38" s="471"/>
      <c r="H38" s="65" t="s">
        <v>11</v>
      </c>
    </row>
    <row r="39" spans="2:18" ht="16.5" thickTop="1" thickBot="1" x14ac:dyDescent="0.3">
      <c r="B39" s="567" t="s">
        <v>165</v>
      </c>
      <c r="C39" s="568"/>
      <c r="D39" s="568"/>
      <c r="E39" s="568"/>
      <c r="F39" s="569"/>
      <c r="H39" s="317" t="s">
        <v>310</v>
      </c>
    </row>
    <row r="40" spans="2:18" ht="18.75" thickTop="1" x14ac:dyDescent="0.35">
      <c r="B40" s="474" t="s">
        <v>308</v>
      </c>
      <c r="C40" s="475"/>
      <c r="D40" s="100">
        <f>D31*24*365</f>
        <v>26280</v>
      </c>
      <c r="E40" s="472" t="s">
        <v>163</v>
      </c>
      <c r="F40" s="473"/>
      <c r="H40" s="317" t="s">
        <v>311</v>
      </c>
    </row>
    <row r="41" spans="2:18" ht="18" x14ac:dyDescent="0.35">
      <c r="B41" s="462" t="s">
        <v>156</v>
      </c>
      <c r="C41" s="463"/>
      <c r="D41" s="98">
        <f t="shared" ref="D41:D47" si="3">$D$7*0.000001*D23</f>
        <v>1054.8710162034922</v>
      </c>
      <c r="E41" s="456" t="s">
        <v>163</v>
      </c>
      <c r="F41" s="457"/>
      <c r="H41" s="317" t="s">
        <v>312</v>
      </c>
    </row>
    <row r="42" spans="2:18" x14ac:dyDescent="0.25">
      <c r="B42" s="462" t="s">
        <v>309</v>
      </c>
      <c r="C42" s="463"/>
      <c r="D42" s="98">
        <f>D33*24*365</f>
        <v>5255.9999999999991</v>
      </c>
      <c r="E42" s="456" t="s">
        <v>163</v>
      </c>
      <c r="F42" s="457"/>
    </row>
    <row r="43" spans="2:18" ht="18" x14ac:dyDescent="0.35">
      <c r="B43" s="462" t="s">
        <v>157</v>
      </c>
      <c r="C43" s="463"/>
      <c r="D43" s="98">
        <f t="shared" si="3"/>
        <v>287.69209532822515</v>
      </c>
      <c r="E43" s="456" t="s">
        <v>163</v>
      </c>
      <c r="F43" s="457"/>
      <c r="H43" s="65" t="s">
        <v>20</v>
      </c>
    </row>
    <row r="44" spans="2:18" ht="18" x14ac:dyDescent="0.35">
      <c r="B44" s="462" t="s">
        <v>158</v>
      </c>
      <c r="C44" s="463"/>
      <c r="D44" s="98">
        <f t="shared" si="3"/>
        <v>3644.0998741575186</v>
      </c>
      <c r="E44" s="456" t="s">
        <v>163</v>
      </c>
      <c r="F44" s="457"/>
      <c r="H44" t="s">
        <v>313</v>
      </c>
    </row>
    <row r="45" spans="2:18" ht="18" x14ac:dyDescent="0.35">
      <c r="B45" s="462" t="s">
        <v>159</v>
      </c>
      <c r="C45" s="463"/>
      <c r="D45" s="98">
        <f t="shared" si="3"/>
        <v>3644.0998741575186</v>
      </c>
      <c r="E45" s="456" t="s">
        <v>163</v>
      </c>
      <c r="F45" s="457"/>
    </row>
    <row r="46" spans="2:18" x14ac:dyDescent="0.25">
      <c r="B46" s="462" t="s">
        <v>160</v>
      </c>
      <c r="C46" s="463"/>
      <c r="D46" s="98">
        <f t="shared" si="3"/>
        <v>5274.3550810174611</v>
      </c>
      <c r="E46" s="456" t="s">
        <v>163</v>
      </c>
      <c r="F46" s="457"/>
    </row>
    <row r="47" spans="2:18" ht="15.75" thickBot="1" x14ac:dyDescent="0.3">
      <c r="B47" s="464" t="s">
        <v>161</v>
      </c>
      <c r="C47" s="465"/>
      <c r="D47" s="99">
        <f t="shared" si="3"/>
        <v>2637.1775405087305</v>
      </c>
      <c r="E47" s="458" t="s">
        <v>163</v>
      </c>
      <c r="F47" s="459"/>
    </row>
    <row r="48" spans="2:18" ht="15.75" thickTop="1" x14ac:dyDescent="0.25"/>
  </sheetData>
  <mergeCells count="123">
    <mergeCell ref="H30:R30"/>
    <mergeCell ref="E17:F17"/>
    <mergeCell ref="B11:F12"/>
    <mergeCell ref="B8:C8"/>
    <mergeCell ref="B9:C9"/>
    <mergeCell ref="B10:C10"/>
    <mergeCell ref="B17:C17"/>
    <mergeCell ref="B30:F30"/>
    <mergeCell ref="B39:F39"/>
    <mergeCell ref="H10:K10"/>
    <mergeCell ref="H8:K8"/>
    <mergeCell ref="M27:P27"/>
    <mergeCell ref="E21:F21"/>
    <mergeCell ref="H25:P26"/>
    <mergeCell ref="E25:F25"/>
    <mergeCell ref="E26:F26"/>
    <mergeCell ref="E27:F27"/>
    <mergeCell ref="B29:C29"/>
    <mergeCell ref="B28:C28"/>
    <mergeCell ref="B27:C27"/>
    <mergeCell ref="B26:C26"/>
    <mergeCell ref="B25:C25"/>
    <mergeCell ref="B24:C24"/>
    <mergeCell ref="E28:F28"/>
    <mergeCell ref="B5:C5"/>
    <mergeCell ref="B6:C6"/>
    <mergeCell ref="B16:C16"/>
    <mergeCell ref="B7:C7"/>
    <mergeCell ref="E4:F4"/>
    <mergeCell ref="B3:C4"/>
    <mergeCell ref="D3:D4"/>
    <mergeCell ref="E5:F5"/>
    <mergeCell ref="E6:F6"/>
    <mergeCell ref="E7:F7"/>
    <mergeCell ref="E8:F8"/>
    <mergeCell ref="E9:F9"/>
    <mergeCell ref="E10:F10"/>
    <mergeCell ref="E16:F16"/>
    <mergeCell ref="H5:K6"/>
    <mergeCell ref="M7:P7"/>
    <mergeCell ref="L3:L4"/>
    <mergeCell ref="M5:P5"/>
    <mergeCell ref="M6:P6"/>
    <mergeCell ref="M4:P4"/>
    <mergeCell ref="H28:K28"/>
    <mergeCell ref="H24:K24"/>
    <mergeCell ref="M24:P24"/>
    <mergeCell ref="H23:K23"/>
    <mergeCell ref="M28:P28"/>
    <mergeCell ref="H14:K14"/>
    <mergeCell ref="H15:K15"/>
    <mergeCell ref="M14:P14"/>
    <mergeCell ref="M15:P15"/>
    <mergeCell ref="M22:P22"/>
    <mergeCell ref="H18:P21"/>
    <mergeCell ref="H16:K16"/>
    <mergeCell ref="H17:K17"/>
    <mergeCell ref="M16:P16"/>
    <mergeCell ref="M17:P17"/>
    <mergeCell ref="H27:K27"/>
    <mergeCell ref="B2:D2"/>
    <mergeCell ref="H2:L2"/>
    <mergeCell ref="B14:C14"/>
    <mergeCell ref="B13:C13"/>
    <mergeCell ref="B15:C15"/>
    <mergeCell ref="E14:F14"/>
    <mergeCell ref="E13:F13"/>
    <mergeCell ref="E15:F15"/>
    <mergeCell ref="M23:P23"/>
    <mergeCell ref="H22:K22"/>
    <mergeCell ref="M13:P13"/>
    <mergeCell ref="M12:P12"/>
    <mergeCell ref="M11:P11"/>
    <mergeCell ref="M10:P10"/>
    <mergeCell ref="M8:P8"/>
    <mergeCell ref="M9:P9"/>
    <mergeCell ref="H3:K4"/>
    <mergeCell ref="H13:K13"/>
    <mergeCell ref="H12:K12"/>
    <mergeCell ref="H11:K11"/>
    <mergeCell ref="B18:C18"/>
    <mergeCell ref="B23:C23"/>
    <mergeCell ref="H7:K7"/>
    <mergeCell ref="H9:K9"/>
    <mergeCell ref="E29:F29"/>
    <mergeCell ref="B20:D20"/>
    <mergeCell ref="E22:F22"/>
    <mergeCell ref="B22:C22"/>
    <mergeCell ref="E23:F23"/>
    <mergeCell ref="E24:F24"/>
    <mergeCell ref="B44:C44"/>
    <mergeCell ref="B31:C31"/>
    <mergeCell ref="B32:C32"/>
    <mergeCell ref="B33:C33"/>
    <mergeCell ref="B34:C34"/>
    <mergeCell ref="B35:C35"/>
    <mergeCell ref="B36:C36"/>
    <mergeCell ref="B37:C37"/>
    <mergeCell ref="B38:C38"/>
    <mergeCell ref="E45:F45"/>
    <mergeCell ref="E46:F46"/>
    <mergeCell ref="E47:F47"/>
    <mergeCell ref="B21:D21"/>
    <mergeCell ref="B45:C45"/>
    <mergeCell ref="B46:C46"/>
    <mergeCell ref="B47:C47"/>
    <mergeCell ref="E31:F31"/>
    <mergeCell ref="E32:F32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43:F43"/>
    <mergeCell ref="E44:F44"/>
    <mergeCell ref="B40:C40"/>
    <mergeCell ref="B41:C41"/>
    <mergeCell ref="B42:C42"/>
    <mergeCell ref="B43:C43"/>
  </mergeCells>
  <printOptions horizontalCentered="1"/>
  <pageMargins left="0" right="0" top="0" bottom="0" header="0" footer="0"/>
  <pageSetup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Q66"/>
  <sheetViews>
    <sheetView topLeftCell="A19" workbookViewId="0">
      <selection activeCell="G41" sqref="G41"/>
    </sheetView>
  </sheetViews>
  <sheetFormatPr defaultRowHeight="15" x14ac:dyDescent="0.25"/>
  <cols>
    <col min="1" max="1" width="37.42578125" customWidth="1"/>
    <col min="2" max="2" width="10.5703125" bestFit="1" customWidth="1"/>
    <col min="6" max="11" width="14.28515625" customWidth="1"/>
  </cols>
  <sheetData>
    <row r="1" spans="1:17" x14ac:dyDescent="0.25">
      <c r="A1" s="375" t="s">
        <v>256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ht="15.75" thickBot="1" x14ac:dyDescent="0.3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7" ht="15.75" thickBot="1" x14ac:dyDescent="0.3">
      <c r="A3" s="372" t="s">
        <v>232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4"/>
    </row>
    <row r="4" spans="1:17" ht="18.75" thickBot="1" x14ac:dyDescent="0.3">
      <c r="A4" s="192"/>
      <c r="B4" s="197" t="s">
        <v>233</v>
      </c>
      <c r="C4" s="8" t="s">
        <v>150</v>
      </c>
      <c r="D4" s="8" t="s">
        <v>143</v>
      </c>
      <c r="E4" s="8" t="s">
        <v>240</v>
      </c>
      <c r="F4" s="8" t="s">
        <v>241</v>
      </c>
      <c r="G4" s="8" t="s">
        <v>242</v>
      </c>
      <c r="H4" s="8" t="s">
        <v>243</v>
      </c>
      <c r="I4" s="8" t="s">
        <v>244</v>
      </c>
      <c r="J4" s="8" t="s">
        <v>245</v>
      </c>
      <c r="K4" s="207" t="s">
        <v>246</v>
      </c>
      <c r="L4" s="276" t="s">
        <v>247</v>
      </c>
      <c r="M4" s="102" t="s">
        <v>248</v>
      </c>
      <c r="N4" s="102" t="s">
        <v>249</v>
      </c>
      <c r="O4" s="102" t="s">
        <v>13</v>
      </c>
      <c r="P4" s="102" t="s">
        <v>14</v>
      </c>
      <c r="Q4" s="103" t="s">
        <v>250</v>
      </c>
    </row>
    <row r="5" spans="1:17" ht="15.75" thickBot="1" x14ac:dyDescent="0.3">
      <c r="A5" s="203" t="s">
        <v>257</v>
      </c>
      <c r="B5" s="369" t="s">
        <v>236</v>
      </c>
      <c r="C5" s="370"/>
      <c r="D5" s="370"/>
      <c r="E5" s="370"/>
      <c r="F5" s="370"/>
      <c r="G5" s="370"/>
      <c r="H5" s="370"/>
      <c r="I5" s="370"/>
      <c r="J5" s="370"/>
      <c r="K5" s="371"/>
      <c r="L5" s="369" t="s">
        <v>237</v>
      </c>
      <c r="M5" s="370"/>
      <c r="N5" s="370"/>
      <c r="O5" s="370"/>
      <c r="P5" s="370"/>
      <c r="Q5" s="371"/>
    </row>
    <row r="6" spans="1:17" x14ac:dyDescent="0.25">
      <c r="A6" s="214" t="s">
        <v>258</v>
      </c>
      <c r="B6" s="216">
        <v>1.2200000000000001E-2</v>
      </c>
      <c r="C6" s="217">
        <v>0.1108</v>
      </c>
      <c r="D6" s="217">
        <v>9.3100000000000002E-2</v>
      </c>
      <c r="E6" s="217">
        <v>6.6E-4</v>
      </c>
      <c r="F6" s="217">
        <v>0</v>
      </c>
      <c r="G6" s="217">
        <v>8.4200000000000004E-3</v>
      </c>
      <c r="H6" s="217">
        <v>8.4200000000000004E-3</v>
      </c>
      <c r="I6" s="217">
        <v>0</v>
      </c>
      <c r="J6" s="217">
        <v>8.4200000000000004E-3</v>
      </c>
      <c r="K6" s="218">
        <v>8.4200000000000004E-3</v>
      </c>
      <c r="L6" s="216">
        <v>0</v>
      </c>
      <c r="M6" s="217">
        <v>401.62889999999999</v>
      </c>
      <c r="N6" s="217">
        <v>401.62889999999999</v>
      </c>
      <c r="O6" s="217">
        <v>1.3899999999999999E-2</v>
      </c>
      <c r="P6" s="217">
        <v>4.6100000000000004E-3</v>
      </c>
      <c r="Q6" s="218">
        <v>403.351</v>
      </c>
    </row>
    <row r="7" spans="1:17" x14ac:dyDescent="0.25">
      <c r="A7" s="214" t="s">
        <v>259</v>
      </c>
      <c r="B7" s="219">
        <v>0.16700000000000001</v>
      </c>
      <c r="C7" s="220">
        <v>1.4584999999999999</v>
      </c>
      <c r="D7" s="220">
        <v>1.9652000000000001</v>
      </c>
      <c r="E7" s="220">
        <v>7.4400000000000004E-3</v>
      </c>
      <c r="F7" s="220">
        <v>0.48609999999999998</v>
      </c>
      <c r="G7" s="220">
        <v>5.8199999999999997E-3</v>
      </c>
      <c r="H7" s="220">
        <v>0.4919</v>
      </c>
      <c r="I7" s="220">
        <v>0.1303</v>
      </c>
      <c r="J7" s="220">
        <v>5.4799999999999996E-3</v>
      </c>
      <c r="K7" s="221">
        <v>0.1358</v>
      </c>
      <c r="L7" s="219">
        <v>0</v>
      </c>
      <c r="M7" s="220">
        <v>689.67579999999998</v>
      </c>
      <c r="N7" s="220">
        <v>689.67579999999998</v>
      </c>
      <c r="O7" s="220">
        <v>5.2200000000000003E-2</v>
      </c>
      <c r="P7" s="220">
        <v>0</v>
      </c>
      <c r="Q7" s="221">
        <v>690.98050000000001</v>
      </c>
    </row>
    <row r="8" spans="1:17" ht="15.75" thickBot="1" x14ac:dyDescent="0.3">
      <c r="A8" s="215" t="s">
        <v>260</v>
      </c>
      <c r="B8" s="185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2">
        <v>0</v>
      </c>
      <c r="L8" s="185">
        <v>20.887799999999999</v>
      </c>
      <c r="M8" s="186">
        <v>0</v>
      </c>
      <c r="N8" s="186">
        <v>20.887799999999999</v>
      </c>
      <c r="O8" s="186">
        <v>1.2343999999999999</v>
      </c>
      <c r="P8" s="186">
        <v>0</v>
      </c>
      <c r="Q8" s="182">
        <v>51.748600000000003</v>
      </c>
    </row>
    <row r="9" spans="1:17" ht="15.75" thickBot="1" x14ac:dyDescent="0.3">
      <c r="A9" s="84" t="s">
        <v>261</v>
      </c>
      <c r="B9" s="197">
        <f>SUM(B6:B8)</f>
        <v>0.1792</v>
      </c>
      <c r="C9" s="8">
        <f>SUM(C6:C8)</f>
        <v>1.5692999999999999</v>
      </c>
      <c r="D9" s="8">
        <f>SUM(D6:D8)</f>
        <v>2.0583</v>
      </c>
      <c r="E9" s="8">
        <f>SUM(E6:E8)</f>
        <v>8.0999999999999996E-3</v>
      </c>
      <c r="F9" s="8">
        <f t="shared" ref="F9:Q9" si="0">SUM(F6:F8)</f>
        <v>0.48609999999999998</v>
      </c>
      <c r="G9" s="8">
        <f t="shared" si="0"/>
        <v>1.4239999999999999E-2</v>
      </c>
      <c r="H9" s="8">
        <f t="shared" si="0"/>
        <v>0.50031999999999999</v>
      </c>
      <c r="I9" s="8">
        <f t="shared" si="0"/>
        <v>0.1303</v>
      </c>
      <c r="J9" s="8">
        <f t="shared" si="0"/>
        <v>1.3899999999999999E-2</v>
      </c>
      <c r="K9" s="199">
        <f t="shared" si="0"/>
        <v>0.14422000000000001</v>
      </c>
      <c r="L9" s="197">
        <f t="shared" si="0"/>
        <v>20.887799999999999</v>
      </c>
      <c r="M9" s="8">
        <f t="shared" si="0"/>
        <v>1091.3046999999999</v>
      </c>
      <c r="N9" s="8">
        <f t="shared" si="0"/>
        <v>1112.1924999999999</v>
      </c>
      <c r="O9" s="8">
        <f t="shared" si="0"/>
        <v>1.3005</v>
      </c>
      <c r="P9" s="8">
        <f t="shared" si="0"/>
        <v>4.6100000000000004E-3</v>
      </c>
      <c r="Q9" s="199">
        <f t="shared" si="0"/>
        <v>1146.0800999999999</v>
      </c>
    </row>
    <row r="10" spans="1:17" ht="15.75" thickBot="1" x14ac:dyDescent="0.3"/>
    <row r="11" spans="1:17" ht="15.75" thickBot="1" x14ac:dyDescent="0.3">
      <c r="A11" s="372" t="s">
        <v>252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4"/>
    </row>
    <row r="12" spans="1:17" ht="18.75" thickBot="1" x14ac:dyDescent="0.3">
      <c r="A12" s="192"/>
      <c r="B12" s="197" t="s">
        <v>233</v>
      </c>
      <c r="C12" s="8" t="s">
        <v>150</v>
      </c>
      <c r="D12" s="8" t="s">
        <v>143</v>
      </c>
      <c r="E12" s="8" t="s">
        <v>240</v>
      </c>
      <c r="F12" s="8" t="s">
        <v>241</v>
      </c>
      <c r="G12" s="8" t="s">
        <v>242</v>
      </c>
      <c r="H12" s="8" t="s">
        <v>243</v>
      </c>
      <c r="I12" s="8" t="s">
        <v>244</v>
      </c>
      <c r="J12" s="8" t="s">
        <v>245</v>
      </c>
      <c r="K12" s="207" t="s">
        <v>246</v>
      </c>
      <c r="L12" s="276" t="s">
        <v>247</v>
      </c>
      <c r="M12" s="102" t="s">
        <v>248</v>
      </c>
      <c r="N12" s="102" t="s">
        <v>249</v>
      </c>
      <c r="O12" s="102" t="s">
        <v>13</v>
      </c>
      <c r="P12" s="102" t="s">
        <v>14</v>
      </c>
      <c r="Q12" s="103" t="s">
        <v>250</v>
      </c>
    </row>
    <row r="13" spans="1:17" ht="15.75" thickBot="1" x14ac:dyDescent="0.3">
      <c r="A13" s="203" t="s">
        <v>257</v>
      </c>
      <c r="B13" s="369" t="s">
        <v>236</v>
      </c>
      <c r="C13" s="370"/>
      <c r="D13" s="370"/>
      <c r="E13" s="370"/>
      <c r="F13" s="370"/>
      <c r="G13" s="370"/>
      <c r="H13" s="370"/>
      <c r="I13" s="370"/>
      <c r="J13" s="370"/>
      <c r="K13" s="371"/>
      <c r="L13" s="369" t="s">
        <v>237</v>
      </c>
      <c r="M13" s="370"/>
      <c r="N13" s="370"/>
      <c r="O13" s="370"/>
      <c r="P13" s="370"/>
      <c r="Q13" s="371"/>
    </row>
    <row r="14" spans="1:17" x14ac:dyDescent="0.25">
      <c r="A14" s="214" t="s">
        <v>262</v>
      </c>
      <c r="B14" s="216">
        <v>4.1000000000000002E-2</v>
      </c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8">
        <v>0</v>
      </c>
      <c r="L14" s="216">
        <v>0</v>
      </c>
      <c r="M14" s="217">
        <v>0</v>
      </c>
      <c r="N14" s="217">
        <v>0</v>
      </c>
      <c r="O14" s="217">
        <v>0</v>
      </c>
      <c r="P14" s="217">
        <v>0</v>
      </c>
      <c r="Q14" s="218">
        <v>0</v>
      </c>
    </row>
    <row r="15" spans="1:17" ht="15.75" thickBot="1" x14ac:dyDescent="0.3">
      <c r="A15" s="214" t="s">
        <v>259</v>
      </c>
      <c r="B15" s="219">
        <v>0</v>
      </c>
      <c r="C15" s="220">
        <v>0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1">
        <v>0</v>
      </c>
      <c r="L15" s="219">
        <v>0</v>
      </c>
      <c r="M15" s="220">
        <v>0</v>
      </c>
      <c r="N15" s="220">
        <v>0</v>
      </c>
      <c r="O15" s="220">
        <v>0</v>
      </c>
      <c r="P15" s="220">
        <v>0</v>
      </c>
      <c r="Q15" s="221">
        <v>0</v>
      </c>
    </row>
    <row r="16" spans="1:17" ht="15.75" thickBot="1" x14ac:dyDescent="0.3">
      <c r="A16" s="84" t="s">
        <v>261</v>
      </c>
      <c r="B16" s="197">
        <f t="shared" ref="B16:Q16" si="1">SUM(B14:B15)</f>
        <v>4.1000000000000002E-2</v>
      </c>
      <c r="C16" s="8">
        <f t="shared" si="1"/>
        <v>0</v>
      </c>
      <c r="D16" s="8">
        <f t="shared" si="1"/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199">
        <f t="shared" si="1"/>
        <v>0</v>
      </c>
      <c r="L16" s="197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199">
        <f t="shared" si="1"/>
        <v>0</v>
      </c>
    </row>
    <row r="17" spans="1:17" x14ac:dyDescent="0.25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</row>
    <row r="18" spans="1:17" ht="15.75" thickBot="1" x14ac:dyDescent="0.3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</row>
    <row r="19" spans="1:17" ht="15.75" thickBot="1" x14ac:dyDescent="0.3">
      <c r="A19" s="372" t="s">
        <v>345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4"/>
    </row>
    <row r="20" spans="1:17" ht="18.75" thickBot="1" x14ac:dyDescent="0.3">
      <c r="A20" s="192"/>
      <c r="B20" s="197" t="s">
        <v>233</v>
      </c>
      <c r="C20" s="8" t="s">
        <v>150</v>
      </c>
      <c r="D20" s="8" t="s">
        <v>143</v>
      </c>
      <c r="E20" s="8" t="s">
        <v>240</v>
      </c>
      <c r="F20" s="8" t="s">
        <v>241</v>
      </c>
      <c r="G20" s="8" t="s">
        <v>242</v>
      </c>
      <c r="H20" s="8" t="s">
        <v>243</v>
      </c>
      <c r="I20" s="8" t="s">
        <v>244</v>
      </c>
      <c r="J20" s="8" t="s">
        <v>245</v>
      </c>
      <c r="K20" s="207" t="s">
        <v>246</v>
      </c>
      <c r="L20" s="276" t="s">
        <v>247</v>
      </c>
      <c r="M20" s="102" t="s">
        <v>248</v>
      </c>
      <c r="N20" s="102" t="s">
        <v>249</v>
      </c>
      <c r="O20" s="102" t="s">
        <v>13</v>
      </c>
      <c r="P20" s="102" t="s">
        <v>14</v>
      </c>
      <c r="Q20" s="103" t="s">
        <v>250</v>
      </c>
    </row>
    <row r="21" spans="1:17" ht="15.75" thickBot="1" x14ac:dyDescent="0.3">
      <c r="A21" s="203" t="s">
        <v>257</v>
      </c>
      <c r="B21" s="369" t="s">
        <v>236</v>
      </c>
      <c r="C21" s="370"/>
      <c r="D21" s="370"/>
      <c r="E21" s="370"/>
      <c r="F21" s="370"/>
      <c r="G21" s="370"/>
      <c r="H21" s="370"/>
      <c r="I21" s="370"/>
      <c r="J21" s="370"/>
      <c r="K21" s="371"/>
      <c r="L21" s="369" t="s">
        <v>237</v>
      </c>
      <c r="M21" s="370"/>
      <c r="N21" s="370"/>
      <c r="O21" s="370"/>
      <c r="P21" s="370"/>
      <c r="Q21" s="371"/>
    </row>
    <row r="22" spans="1:17" ht="15.75" thickBot="1" x14ac:dyDescent="0.3">
      <c r="A22" s="214" t="s">
        <v>325</v>
      </c>
      <c r="B22" s="216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f>B42*C42*0.01*365*24*60*0.00014/2000</f>
        <v>0.8830079999999999</v>
      </c>
      <c r="I22" s="217">
        <v>0</v>
      </c>
      <c r="J22" s="217">
        <v>0</v>
      </c>
      <c r="K22" s="218">
        <f>H22*0.54</f>
        <v>0.47682431999999997</v>
      </c>
      <c r="L22" s="216">
        <v>0</v>
      </c>
      <c r="M22" s="217">
        <v>0</v>
      </c>
      <c r="N22" s="217">
        <v>0</v>
      </c>
      <c r="O22" s="217">
        <v>0</v>
      </c>
      <c r="P22" s="217">
        <v>0</v>
      </c>
      <c r="Q22" s="218">
        <v>0</v>
      </c>
    </row>
    <row r="23" spans="1:17" ht="15.75" thickBot="1" x14ac:dyDescent="0.3">
      <c r="A23" s="214" t="s">
        <v>326</v>
      </c>
      <c r="B23" s="331"/>
      <c r="C23" s="332"/>
      <c r="D23" s="332"/>
      <c r="E23" s="332"/>
      <c r="F23" s="332"/>
      <c r="G23" s="332"/>
      <c r="H23" s="217">
        <f t="shared" ref="H23:H26" si="2">B43*C43*0.01*365*24*60*0.00014/2000</f>
        <v>2.6490239999999998</v>
      </c>
      <c r="I23" s="332"/>
      <c r="J23" s="332"/>
      <c r="K23" s="218">
        <f t="shared" ref="K23:K25" si="3">H23*0.54</f>
        <v>1.4304729599999999</v>
      </c>
      <c r="L23" s="331"/>
      <c r="M23" s="332"/>
      <c r="N23" s="332"/>
      <c r="O23" s="332"/>
      <c r="P23" s="332"/>
      <c r="Q23" s="333"/>
    </row>
    <row r="24" spans="1:17" ht="15.75" thickBot="1" x14ac:dyDescent="0.3">
      <c r="A24" s="214" t="s">
        <v>327</v>
      </c>
      <c r="B24" s="331"/>
      <c r="C24" s="332"/>
      <c r="D24" s="332"/>
      <c r="E24" s="332"/>
      <c r="F24" s="332"/>
      <c r="G24" s="332"/>
      <c r="H24" s="217">
        <f t="shared" si="2"/>
        <v>0.8830079999999999</v>
      </c>
      <c r="I24" s="332"/>
      <c r="J24" s="332"/>
      <c r="K24" s="218">
        <f t="shared" si="3"/>
        <v>0.47682431999999997</v>
      </c>
      <c r="L24" s="331"/>
      <c r="M24" s="332"/>
      <c r="N24" s="332"/>
      <c r="O24" s="332"/>
      <c r="P24" s="332"/>
      <c r="Q24" s="333"/>
    </row>
    <row r="25" spans="1:17" ht="15.75" thickBot="1" x14ac:dyDescent="0.3">
      <c r="A25" s="214" t="s">
        <v>328</v>
      </c>
      <c r="B25" s="331"/>
      <c r="C25" s="332"/>
      <c r="D25" s="332"/>
      <c r="E25" s="332"/>
      <c r="F25" s="332"/>
      <c r="G25" s="332"/>
      <c r="H25" s="217">
        <f t="shared" si="2"/>
        <v>0.8830079999999999</v>
      </c>
      <c r="I25" s="332"/>
      <c r="J25" s="332"/>
      <c r="K25" s="218">
        <f t="shared" si="3"/>
        <v>0.47682431999999997</v>
      </c>
      <c r="L25" s="331"/>
      <c r="M25" s="332"/>
      <c r="N25" s="332"/>
      <c r="O25" s="332"/>
      <c r="P25" s="332"/>
      <c r="Q25" s="333"/>
    </row>
    <row r="26" spans="1:17" ht="15.75" thickBot="1" x14ac:dyDescent="0.3">
      <c r="A26" s="214" t="s">
        <v>329</v>
      </c>
      <c r="B26" s="219">
        <v>0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217">
        <f t="shared" si="2"/>
        <v>0.8830079999999999</v>
      </c>
      <c r="I26" s="220">
        <v>0</v>
      </c>
      <c r="J26" s="220">
        <v>0</v>
      </c>
      <c r="K26" s="218">
        <f>H26*0.54</f>
        <v>0.47682431999999997</v>
      </c>
      <c r="L26" s="331"/>
      <c r="M26" s="332"/>
      <c r="N26" s="332"/>
      <c r="O26" s="332"/>
      <c r="P26" s="332"/>
      <c r="Q26" s="333"/>
    </row>
    <row r="27" spans="1:17" ht="15.75" thickBot="1" x14ac:dyDescent="0.3">
      <c r="A27" s="214" t="s">
        <v>346</v>
      </c>
      <c r="B27" s="331"/>
      <c r="C27" s="332"/>
      <c r="D27" s="332"/>
      <c r="E27" s="332"/>
      <c r="F27" s="332">
        <v>0.51</v>
      </c>
      <c r="G27" s="332"/>
      <c r="H27" s="217"/>
      <c r="I27" s="332">
        <v>0.16</v>
      </c>
      <c r="J27" s="332"/>
      <c r="K27" s="218"/>
      <c r="L27" s="331"/>
      <c r="M27" s="332"/>
      <c r="N27" s="332"/>
      <c r="O27" s="332"/>
      <c r="P27" s="332"/>
      <c r="Q27" s="333"/>
    </row>
    <row r="28" spans="1:17" ht="15.75" thickBot="1" x14ac:dyDescent="0.3">
      <c r="A28" s="342" t="s">
        <v>347</v>
      </c>
      <c r="B28" s="331"/>
      <c r="C28" s="332"/>
      <c r="D28" s="332"/>
      <c r="E28" s="332"/>
      <c r="F28" s="332">
        <v>0.124</v>
      </c>
      <c r="G28" s="332"/>
      <c r="H28" s="217"/>
      <c r="I28" s="332">
        <v>0.05</v>
      </c>
      <c r="J28" s="332"/>
      <c r="K28" s="218"/>
      <c r="L28" s="219">
        <v>0</v>
      </c>
      <c r="M28" s="220">
        <v>0</v>
      </c>
      <c r="N28" s="220">
        <v>0</v>
      </c>
      <c r="O28" s="220">
        <v>0</v>
      </c>
      <c r="P28" s="220">
        <v>0</v>
      </c>
      <c r="Q28" s="221">
        <v>0</v>
      </c>
    </row>
    <row r="29" spans="1:17" ht="15.75" thickBot="1" x14ac:dyDescent="0.3">
      <c r="A29" s="84" t="s">
        <v>261</v>
      </c>
      <c r="B29" s="197">
        <f t="shared" ref="B29:K29" si="4">SUM(B22:B27)</f>
        <v>0</v>
      </c>
      <c r="C29" s="8">
        <f t="shared" si="4"/>
        <v>0</v>
      </c>
      <c r="D29" s="8">
        <f t="shared" si="4"/>
        <v>0</v>
      </c>
      <c r="E29" s="8">
        <f t="shared" si="4"/>
        <v>0</v>
      </c>
      <c r="F29" s="8">
        <f t="shared" si="4"/>
        <v>0.51</v>
      </c>
      <c r="G29" s="8">
        <f t="shared" si="4"/>
        <v>0</v>
      </c>
      <c r="H29" s="8">
        <f t="shared" si="4"/>
        <v>6.1810559999999999</v>
      </c>
      <c r="I29" s="8">
        <f t="shared" si="4"/>
        <v>0.16</v>
      </c>
      <c r="J29" s="8">
        <f t="shared" si="4"/>
        <v>0</v>
      </c>
      <c r="K29" s="199">
        <f t="shared" si="4"/>
        <v>3.3377702399999998</v>
      </c>
      <c r="L29" s="197">
        <f t="shared" ref="L29:Q29" si="5">SUM(L22:L28)</f>
        <v>0</v>
      </c>
      <c r="M29" s="8">
        <f t="shared" si="5"/>
        <v>0</v>
      </c>
      <c r="N29" s="8">
        <f t="shared" si="5"/>
        <v>0</v>
      </c>
      <c r="O29" s="8">
        <f t="shared" si="5"/>
        <v>0</v>
      </c>
      <c r="P29" s="8">
        <f t="shared" si="5"/>
        <v>0</v>
      </c>
      <c r="Q29" s="199">
        <f t="shared" si="5"/>
        <v>0</v>
      </c>
    </row>
    <row r="30" spans="1:17" ht="15.75" thickBot="1" x14ac:dyDescent="0.3"/>
    <row r="31" spans="1:17" ht="15.75" thickBot="1" x14ac:dyDescent="0.3">
      <c r="A31" s="366" t="s">
        <v>253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8"/>
    </row>
    <row r="32" spans="1:17" ht="18.75" thickBot="1" x14ac:dyDescent="0.3">
      <c r="A32" s="192"/>
      <c r="B32" s="197" t="s">
        <v>233</v>
      </c>
      <c r="C32" s="8" t="s">
        <v>150</v>
      </c>
      <c r="D32" s="8" t="s">
        <v>143</v>
      </c>
      <c r="E32" s="8" t="s">
        <v>240</v>
      </c>
      <c r="F32" s="8" t="s">
        <v>241</v>
      </c>
      <c r="G32" s="8" t="s">
        <v>242</v>
      </c>
      <c r="H32" s="8" t="s">
        <v>243</v>
      </c>
      <c r="I32" s="8" t="s">
        <v>244</v>
      </c>
      <c r="J32" s="8" t="s">
        <v>245</v>
      </c>
      <c r="K32" s="207" t="s">
        <v>246</v>
      </c>
      <c r="L32" s="276" t="s">
        <v>247</v>
      </c>
      <c r="M32" s="102" t="s">
        <v>248</v>
      </c>
      <c r="N32" s="102" t="s">
        <v>249</v>
      </c>
      <c r="O32" s="102" t="s">
        <v>13</v>
      </c>
      <c r="P32" s="102" t="s">
        <v>14</v>
      </c>
      <c r="Q32" s="103" t="s">
        <v>250</v>
      </c>
    </row>
    <row r="33" spans="1:17" ht="15.75" thickBot="1" x14ac:dyDescent="0.3">
      <c r="A33" s="203" t="s">
        <v>257</v>
      </c>
      <c r="B33" s="369" t="s">
        <v>236</v>
      </c>
      <c r="C33" s="370"/>
      <c r="D33" s="370"/>
      <c r="E33" s="370"/>
      <c r="F33" s="370"/>
      <c r="G33" s="370"/>
      <c r="H33" s="370"/>
      <c r="I33" s="370"/>
      <c r="J33" s="370"/>
      <c r="K33" s="371"/>
      <c r="L33" s="369" t="s">
        <v>237</v>
      </c>
      <c r="M33" s="370"/>
      <c r="N33" s="370"/>
      <c r="O33" s="370"/>
      <c r="P33" s="370"/>
      <c r="Q33" s="371"/>
    </row>
    <row r="34" spans="1:17" x14ac:dyDescent="0.25">
      <c r="A34" s="214" t="s">
        <v>258</v>
      </c>
      <c r="B34" s="216">
        <f t="shared" ref="B34:Q34" si="6">B6+B14</f>
        <v>5.3200000000000004E-2</v>
      </c>
      <c r="C34" s="217">
        <f t="shared" si="6"/>
        <v>0.1108</v>
      </c>
      <c r="D34" s="217">
        <f t="shared" si="6"/>
        <v>9.3100000000000002E-2</v>
      </c>
      <c r="E34" s="217">
        <f t="shared" si="6"/>
        <v>6.6E-4</v>
      </c>
      <c r="F34" s="217">
        <f t="shared" si="6"/>
        <v>0</v>
      </c>
      <c r="G34" s="217">
        <f t="shared" si="6"/>
        <v>8.4200000000000004E-3</v>
      </c>
      <c r="H34" s="217">
        <f t="shared" si="6"/>
        <v>8.4200000000000004E-3</v>
      </c>
      <c r="I34" s="217">
        <f t="shared" si="6"/>
        <v>0</v>
      </c>
      <c r="J34" s="217">
        <f t="shared" si="6"/>
        <v>8.4200000000000004E-3</v>
      </c>
      <c r="K34" s="218">
        <f t="shared" si="6"/>
        <v>8.4200000000000004E-3</v>
      </c>
      <c r="L34" s="216">
        <f t="shared" si="6"/>
        <v>0</v>
      </c>
      <c r="M34" s="217">
        <f t="shared" si="6"/>
        <v>401.62889999999999</v>
      </c>
      <c r="N34" s="217">
        <f t="shared" si="6"/>
        <v>401.62889999999999</v>
      </c>
      <c r="O34" s="217">
        <f t="shared" si="6"/>
        <v>1.3899999999999999E-2</v>
      </c>
      <c r="P34" s="217">
        <f t="shared" si="6"/>
        <v>4.6100000000000004E-3</v>
      </c>
      <c r="Q34" s="218">
        <f t="shared" si="6"/>
        <v>403.351</v>
      </c>
    </row>
    <row r="35" spans="1:17" x14ac:dyDescent="0.25">
      <c r="A35" s="214" t="s">
        <v>259</v>
      </c>
      <c r="B35" s="219">
        <f t="shared" ref="B35:Q35" si="7">B7+B15</f>
        <v>0.16700000000000001</v>
      </c>
      <c r="C35" s="220">
        <f t="shared" si="7"/>
        <v>1.4584999999999999</v>
      </c>
      <c r="D35" s="220">
        <f t="shared" si="7"/>
        <v>1.9652000000000001</v>
      </c>
      <c r="E35" s="220">
        <f t="shared" si="7"/>
        <v>7.4400000000000004E-3</v>
      </c>
      <c r="F35" s="220">
        <f t="shared" si="7"/>
        <v>0.48609999999999998</v>
      </c>
      <c r="G35" s="220">
        <f t="shared" si="7"/>
        <v>5.8199999999999997E-3</v>
      </c>
      <c r="H35" s="220">
        <f t="shared" si="7"/>
        <v>0.4919</v>
      </c>
      <c r="I35" s="220">
        <f t="shared" si="7"/>
        <v>0.1303</v>
      </c>
      <c r="J35" s="220">
        <f t="shared" si="7"/>
        <v>5.4799999999999996E-3</v>
      </c>
      <c r="K35" s="221">
        <f t="shared" si="7"/>
        <v>0.1358</v>
      </c>
      <c r="L35" s="219">
        <f t="shared" si="7"/>
        <v>0</v>
      </c>
      <c r="M35" s="220">
        <f t="shared" si="7"/>
        <v>689.67579999999998</v>
      </c>
      <c r="N35" s="220">
        <f t="shared" si="7"/>
        <v>689.67579999999998</v>
      </c>
      <c r="O35" s="220">
        <f t="shared" si="7"/>
        <v>5.2200000000000003E-2</v>
      </c>
      <c r="P35" s="220">
        <f t="shared" si="7"/>
        <v>0</v>
      </c>
      <c r="Q35" s="221">
        <f t="shared" si="7"/>
        <v>690.98050000000001</v>
      </c>
    </row>
    <row r="36" spans="1:17" x14ac:dyDescent="0.25">
      <c r="A36" s="214" t="s">
        <v>324</v>
      </c>
      <c r="B36" s="334"/>
      <c r="C36" s="335"/>
      <c r="D36" s="335"/>
      <c r="E36" s="335"/>
      <c r="F36" s="335">
        <f>F27+F28</f>
        <v>0.63400000000000001</v>
      </c>
      <c r="G36" s="335"/>
      <c r="H36" s="335">
        <f>H29+F36</f>
        <v>6.8150560000000002</v>
      </c>
      <c r="I36" s="335">
        <f>I27+I28</f>
        <v>0.21000000000000002</v>
      </c>
      <c r="J36" s="335"/>
      <c r="K36" s="336">
        <f>K29+I36</f>
        <v>3.5477702399999997</v>
      </c>
      <c r="L36" s="334"/>
      <c r="M36" s="335"/>
      <c r="N36" s="335"/>
      <c r="O36" s="335"/>
      <c r="P36" s="335"/>
      <c r="Q36" s="336"/>
    </row>
    <row r="37" spans="1:17" ht="15.75" thickBot="1" x14ac:dyDescent="0.3">
      <c r="A37" s="215" t="s">
        <v>260</v>
      </c>
      <c r="B37" s="222">
        <f t="shared" ref="B37:Q37" si="8">B8</f>
        <v>0</v>
      </c>
      <c r="C37" s="223">
        <f t="shared" si="8"/>
        <v>0</v>
      </c>
      <c r="D37" s="223">
        <f t="shared" si="8"/>
        <v>0</v>
      </c>
      <c r="E37" s="223">
        <f t="shared" si="8"/>
        <v>0</v>
      </c>
      <c r="F37" s="223">
        <f t="shared" si="8"/>
        <v>0</v>
      </c>
      <c r="G37" s="223">
        <f t="shared" si="8"/>
        <v>0</v>
      </c>
      <c r="H37" s="223">
        <f t="shared" si="8"/>
        <v>0</v>
      </c>
      <c r="I37" s="223">
        <f t="shared" si="8"/>
        <v>0</v>
      </c>
      <c r="J37" s="223">
        <f t="shared" si="8"/>
        <v>0</v>
      </c>
      <c r="K37" s="224">
        <f t="shared" si="8"/>
        <v>0</v>
      </c>
      <c r="L37" s="222">
        <f t="shared" si="8"/>
        <v>20.887799999999999</v>
      </c>
      <c r="M37" s="223">
        <f t="shared" si="8"/>
        <v>0</v>
      </c>
      <c r="N37" s="223">
        <f t="shared" si="8"/>
        <v>20.887799999999999</v>
      </c>
      <c r="O37" s="223">
        <f t="shared" si="8"/>
        <v>1.2343999999999999</v>
      </c>
      <c r="P37" s="223">
        <f t="shared" si="8"/>
        <v>0</v>
      </c>
      <c r="Q37" s="224">
        <f t="shared" si="8"/>
        <v>51.748600000000003</v>
      </c>
    </row>
    <row r="38" spans="1:17" ht="15.75" thickBot="1" x14ac:dyDescent="0.3">
      <c r="A38" s="84" t="s">
        <v>261</v>
      </c>
      <c r="B38" s="197">
        <f>SUM(B34:B37)</f>
        <v>0.22020000000000001</v>
      </c>
      <c r="C38" s="8">
        <f>SUM(C34:C37)</f>
        <v>1.5692999999999999</v>
      </c>
      <c r="D38" s="8">
        <f>SUM(D34:D37)</f>
        <v>2.0583</v>
      </c>
      <c r="E38" s="8">
        <f>SUM(E34:E37)</f>
        <v>8.0999999999999996E-3</v>
      </c>
      <c r="F38" s="8">
        <f t="shared" ref="F38" si="9">SUM(F34:F37)</f>
        <v>1.1200999999999999</v>
      </c>
      <c r="G38" s="8">
        <f t="shared" ref="G38" si="10">SUM(G34:G37)</f>
        <v>1.4239999999999999E-2</v>
      </c>
      <c r="H38" s="8">
        <f t="shared" ref="H38" si="11">SUM(H34:H37)</f>
        <v>7.3153760000000005</v>
      </c>
      <c r="I38" s="8">
        <f t="shared" ref="I38" si="12">SUM(I34:I37)</f>
        <v>0.34030000000000005</v>
      </c>
      <c r="J38" s="8">
        <f t="shared" ref="J38" si="13">SUM(J34:J37)</f>
        <v>1.3899999999999999E-2</v>
      </c>
      <c r="K38" s="199">
        <f t="shared" ref="K38" si="14">SUM(K34:K37)</f>
        <v>3.69199024</v>
      </c>
      <c r="L38" s="197">
        <f t="shared" ref="L38" si="15">SUM(L34:L37)</f>
        <v>20.887799999999999</v>
      </c>
      <c r="M38" s="8">
        <f t="shared" ref="M38" si="16">SUM(M34:M37)</f>
        <v>1091.3046999999999</v>
      </c>
      <c r="N38" s="8">
        <f t="shared" ref="N38" si="17">SUM(N34:N37)</f>
        <v>1112.1924999999999</v>
      </c>
      <c r="O38" s="8">
        <f t="shared" ref="O38" si="18">SUM(O34:O37)</f>
        <v>1.3005</v>
      </c>
      <c r="P38" s="8">
        <f t="shared" ref="P38" si="19">SUM(P34:P37)</f>
        <v>4.6100000000000004E-3</v>
      </c>
      <c r="Q38" s="199">
        <f t="shared" ref="Q38" si="20">SUM(Q34:Q37)</f>
        <v>1146.0800999999999</v>
      </c>
    </row>
    <row r="39" spans="1:17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2"/>
    </row>
    <row r="41" spans="1:17" x14ac:dyDescent="0.25">
      <c r="A41" t="s">
        <v>330</v>
      </c>
      <c r="B41" t="s">
        <v>331</v>
      </c>
      <c r="C41" t="s">
        <v>332</v>
      </c>
    </row>
    <row r="42" spans="1:17" x14ac:dyDescent="0.25">
      <c r="A42" s="214" t="s">
        <v>325</v>
      </c>
      <c r="B42">
        <v>2400</v>
      </c>
      <c r="C42">
        <v>1</v>
      </c>
    </row>
    <row r="43" spans="1:17" x14ac:dyDescent="0.25">
      <c r="A43" s="214" t="s">
        <v>326</v>
      </c>
      <c r="B43">
        <v>2400</v>
      </c>
      <c r="C43">
        <v>3</v>
      </c>
    </row>
    <row r="44" spans="1:17" x14ac:dyDescent="0.25">
      <c r="A44" s="214" t="s">
        <v>327</v>
      </c>
      <c r="B44">
        <v>2400</v>
      </c>
      <c r="C44">
        <v>1</v>
      </c>
    </row>
    <row r="45" spans="1:17" x14ac:dyDescent="0.25">
      <c r="A45" s="214" t="s">
        <v>328</v>
      </c>
      <c r="B45">
        <v>2400</v>
      </c>
      <c r="C45">
        <v>1</v>
      </c>
    </row>
    <row r="46" spans="1:17" x14ac:dyDescent="0.25">
      <c r="A46" s="214" t="s">
        <v>329</v>
      </c>
      <c r="B46">
        <v>2400</v>
      </c>
      <c r="C46">
        <v>1</v>
      </c>
    </row>
    <row r="48" spans="1:17" x14ac:dyDescent="0.25">
      <c r="A48" s="337" t="s">
        <v>333</v>
      </c>
      <c r="B48">
        <v>0.01</v>
      </c>
      <c r="C48" t="s">
        <v>334</v>
      </c>
      <c r="D48" t="s">
        <v>335</v>
      </c>
    </row>
    <row r="50" spans="1:6" x14ac:dyDescent="0.25">
      <c r="A50" s="347" t="s">
        <v>348</v>
      </c>
      <c r="B50" s="27"/>
      <c r="C50" s="27"/>
      <c r="D50" s="27"/>
      <c r="E50" s="27"/>
      <c r="F50" s="27"/>
    </row>
    <row r="51" spans="1:6" x14ac:dyDescent="0.25">
      <c r="A51" s="346" t="s">
        <v>349</v>
      </c>
      <c r="B51" s="27"/>
      <c r="C51" s="27"/>
      <c r="D51" s="27"/>
      <c r="E51" s="27"/>
      <c r="F51" s="27"/>
    </row>
    <row r="52" spans="1:6" x14ac:dyDescent="0.25">
      <c r="A52" s="27"/>
      <c r="B52" s="27"/>
      <c r="C52" s="27"/>
      <c r="D52" s="27"/>
      <c r="E52" s="27"/>
      <c r="F52" s="27"/>
    </row>
    <row r="53" spans="1:6" x14ac:dyDescent="0.25">
      <c r="A53" s="27"/>
      <c r="B53" s="27"/>
      <c r="C53" s="27"/>
      <c r="D53" s="27"/>
      <c r="E53" s="27"/>
      <c r="F53" s="27"/>
    </row>
    <row r="54" spans="1:6" x14ac:dyDescent="0.25">
      <c r="A54" s="27"/>
      <c r="B54" s="27"/>
      <c r="C54" s="27"/>
      <c r="D54" s="27"/>
      <c r="E54" s="27"/>
      <c r="F54" s="27"/>
    </row>
    <row r="55" spans="1:6" x14ac:dyDescent="0.25">
      <c r="A55" s="27"/>
      <c r="B55" s="27"/>
      <c r="C55" s="27"/>
      <c r="D55" s="27"/>
      <c r="E55" s="27"/>
      <c r="F55" s="27"/>
    </row>
    <row r="56" spans="1:6" x14ac:dyDescent="0.25">
      <c r="A56" s="27"/>
      <c r="B56" s="27"/>
      <c r="C56" s="27"/>
      <c r="D56" s="27"/>
      <c r="E56" s="27"/>
      <c r="F56" s="27"/>
    </row>
    <row r="57" spans="1:6" x14ac:dyDescent="0.25">
      <c r="A57" s="346"/>
      <c r="B57" s="27"/>
      <c r="C57" s="27"/>
      <c r="D57" s="27"/>
      <c r="E57" s="27"/>
      <c r="F57" s="27"/>
    </row>
    <row r="58" spans="1:6" x14ac:dyDescent="0.25">
      <c r="A58" s="27"/>
      <c r="B58" s="72"/>
      <c r="C58" s="72"/>
      <c r="D58" s="27"/>
      <c r="E58" s="27"/>
      <c r="F58" s="27"/>
    </row>
    <row r="59" spans="1:6" x14ac:dyDescent="0.25">
      <c r="A59" s="27"/>
      <c r="B59" s="345"/>
      <c r="C59" s="72"/>
      <c r="D59" s="27"/>
      <c r="E59" s="27"/>
      <c r="F59" s="27"/>
    </row>
    <row r="60" spans="1:6" x14ac:dyDescent="0.25">
      <c r="A60" s="27"/>
      <c r="B60" s="27"/>
      <c r="C60" s="27"/>
      <c r="D60" s="27"/>
      <c r="E60" s="27"/>
      <c r="F60" s="27"/>
    </row>
    <row r="61" spans="1:6" x14ac:dyDescent="0.25">
      <c r="A61" s="346"/>
      <c r="B61" s="27"/>
      <c r="C61" s="27"/>
      <c r="D61" s="27"/>
      <c r="E61" s="27"/>
      <c r="F61" s="27"/>
    </row>
    <row r="62" spans="1:6" x14ac:dyDescent="0.25">
      <c r="A62" s="341"/>
      <c r="B62" s="343"/>
      <c r="C62" s="27"/>
      <c r="D62" s="341"/>
      <c r="E62" s="343"/>
      <c r="F62" s="27"/>
    </row>
    <row r="63" spans="1:6" x14ac:dyDescent="0.25">
      <c r="A63" s="341"/>
      <c r="B63" s="344"/>
      <c r="C63" s="27"/>
      <c r="D63" s="341"/>
      <c r="E63" s="343"/>
      <c r="F63" s="27"/>
    </row>
    <row r="64" spans="1:6" x14ac:dyDescent="0.25">
      <c r="A64" s="341"/>
      <c r="B64" s="344"/>
      <c r="C64" s="27"/>
      <c r="D64" s="341"/>
      <c r="E64" s="343"/>
      <c r="F64" s="27"/>
    </row>
    <row r="65" spans="1:6" x14ac:dyDescent="0.25">
      <c r="A65" s="341"/>
      <c r="B65" s="344"/>
      <c r="C65" s="27"/>
      <c r="D65" s="341"/>
      <c r="E65" s="343"/>
      <c r="F65" s="27"/>
    </row>
    <row r="66" spans="1:6" x14ac:dyDescent="0.25">
      <c r="A66" s="341"/>
      <c r="B66" s="343"/>
      <c r="C66" s="27"/>
      <c r="D66" s="27"/>
      <c r="E66" s="27"/>
      <c r="F66" s="27"/>
    </row>
  </sheetData>
  <mergeCells count="13">
    <mergeCell ref="B33:K33"/>
    <mergeCell ref="L33:Q33"/>
    <mergeCell ref="A31:Q31"/>
    <mergeCell ref="B13:K13"/>
    <mergeCell ref="L13:Q13"/>
    <mergeCell ref="A19:Q19"/>
    <mergeCell ref="B21:K21"/>
    <mergeCell ref="L21:Q21"/>
    <mergeCell ref="A11:Q11"/>
    <mergeCell ref="A1:Q2"/>
    <mergeCell ref="A3:Q3"/>
    <mergeCell ref="B5:K5"/>
    <mergeCell ref="L5:Q5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7"/>
  <sheetViews>
    <sheetView tabSelected="1" topLeftCell="D1" zoomScale="85" zoomScaleNormal="85" workbookViewId="0">
      <selection activeCell="O22" sqref="O22"/>
    </sheetView>
  </sheetViews>
  <sheetFormatPr defaultRowHeight="15" x14ac:dyDescent="0.25"/>
  <cols>
    <col min="1" max="1" width="10.42578125" customWidth="1"/>
    <col min="2" max="2" width="12.7109375" customWidth="1"/>
    <col min="3" max="4" width="16.7109375" bestFit="1" customWidth="1"/>
    <col min="5" max="5" width="17.85546875" bestFit="1" customWidth="1"/>
    <col min="6" max="6" width="16.7109375" bestFit="1" customWidth="1"/>
    <col min="7" max="7" width="17.85546875" bestFit="1" customWidth="1"/>
    <col min="8" max="8" width="17.85546875" customWidth="1"/>
    <col min="9" max="11" width="12.5703125" customWidth="1"/>
    <col min="12" max="12" width="14.28515625" customWidth="1"/>
    <col min="13" max="13" width="2.85546875" customWidth="1"/>
    <col min="14" max="14" width="12.7109375" customWidth="1"/>
    <col min="15" max="15" width="16.140625" customWidth="1"/>
    <col min="16" max="16" width="9.140625" customWidth="1"/>
    <col min="20" max="23" width="12.5703125" customWidth="1"/>
    <col min="24" max="24" width="13.7109375" customWidth="1"/>
  </cols>
  <sheetData>
    <row r="1" spans="1:23" ht="31.5" customHeight="1" thickBot="1" x14ac:dyDescent="0.3">
      <c r="A1" s="212" t="s">
        <v>272</v>
      </c>
    </row>
    <row r="2" spans="1:23" ht="15.75" thickBot="1" x14ac:dyDescent="0.3">
      <c r="B2" s="383" t="s">
        <v>254</v>
      </c>
      <c r="C2" s="384"/>
      <c r="D2" s="384"/>
      <c r="E2" s="384"/>
      <c r="F2" s="384"/>
      <c r="G2" s="384"/>
      <c r="H2" s="384"/>
      <c r="I2" s="384"/>
      <c r="J2" s="384"/>
      <c r="K2" s="385"/>
      <c r="O2" s="605" t="s">
        <v>279</v>
      </c>
      <c r="P2" s="606"/>
      <c r="Q2" s="606"/>
      <c r="R2" s="606"/>
      <c r="S2" s="606"/>
      <c r="T2" s="606"/>
      <c r="U2" s="606"/>
      <c r="V2" s="606"/>
      <c r="W2" s="607"/>
    </row>
    <row r="3" spans="1:23" ht="18.75" thickBot="1" x14ac:dyDescent="0.3">
      <c r="B3" s="84" t="s">
        <v>100</v>
      </c>
      <c r="C3" s="119" t="s">
        <v>150</v>
      </c>
      <c r="D3" s="105" t="s">
        <v>143</v>
      </c>
      <c r="E3" s="105" t="s">
        <v>151</v>
      </c>
      <c r="F3" s="105" t="s">
        <v>152</v>
      </c>
      <c r="G3" s="105" t="s">
        <v>153</v>
      </c>
      <c r="H3" s="284" t="s">
        <v>291</v>
      </c>
      <c r="I3" s="128" t="s">
        <v>168</v>
      </c>
      <c r="J3" s="102" t="s">
        <v>13</v>
      </c>
      <c r="K3" s="120" t="s">
        <v>14</v>
      </c>
      <c r="O3" s="267" t="s">
        <v>100</v>
      </c>
      <c r="P3" s="227" t="s">
        <v>150</v>
      </c>
      <c r="Q3" s="228" t="s">
        <v>143</v>
      </c>
      <c r="R3" s="228" t="s">
        <v>151</v>
      </c>
      <c r="S3" s="228" t="s">
        <v>152</v>
      </c>
      <c r="T3" s="105" t="s">
        <v>153</v>
      </c>
      <c r="U3" s="227" t="s">
        <v>291</v>
      </c>
      <c r="V3" s="603" t="s">
        <v>175</v>
      </c>
      <c r="W3" s="604"/>
    </row>
    <row r="4" spans="1:23" x14ac:dyDescent="0.25">
      <c r="B4" s="82" t="s">
        <v>145</v>
      </c>
      <c r="C4" s="113">
        <f>SUM('Operational Diesel Emissions'!B42,'Op. LK Calcination-NG Emissions'!I32,'Limestone Delivery Emissions'!E30,('Other Operational Emissions'!C38/24/365*2000))</f>
        <v>4.650110556479321</v>
      </c>
      <c r="D4" s="225">
        <f>SUM('Operational Diesel Emissions'!C42,'Op. LK Calcination-NG Emissions'!J32,'Limestone Delivery Emissions'!E31,('Other Operational Emissions'!D38/24/365*2000))</f>
        <v>1.6006915703138851</v>
      </c>
      <c r="E4" s="225">
        <f>SUM('Operational Diesel Emissions'!D42,'Op. LK Calcination-NG Emissions'!K32,'Limestone Delivery Emissions'!E32,('Other Operational Emissions'!E38/24/365*2000))</f>
        <v>3.8655458858384027E-2</v>
      </c>
      <c r="F4" s="225">
        <f>SUM('Operational Diesel Emissions'!E42,'Op. LK Calcination-NG Emissions'!L32,'Limestone Delivery Emissions'!E33,('Other Operational Emissions'!H38/24/365*2000))</f>
        <v>3.3677126835856832</v>
      </c>
      <c r="G4" s="114">
        <f>F4*0.15</f>
        <v>0.5051569025378525</v>
      </c>
      <c r="H4" s="285">
        <f>'Operational Diesel Emissions'!G42+'Op. LK Calcination-NG Emissions'!O32+CONVERT('Other Operational Emissions'!B38/365/24,"ton","lbm")+'Limestone Delivery Emissions'!E36</f>
        <v>0.69946402155012566</v>
      </c>
      <c r="I4" s="129" t="s">
        <v>149</v>
      </c>
      <c r="J4" s="126" t="s">
        <v>149</v>
      </c>
      <c r="K4" s="127" t="s">
        <v>149</v>
      </c>
      <c r="N4" s="602" t="s">
        <v>171</v>
      </c>
      <c r="O4" s="234" t="s">
        <v>169</v>
      </c>
      <c r="P4" s="253">
        <v>137</v>
      </c>
      <c r="Q4" s="254">
        <v>548</v>
      </c>
      <c r="R4" s="254">
        <v>137</v>
      </c>
      <c r="S4" s="254">
        <v>82</v>
      </c>
      <c r="T4" s="254">
        <v>65</v>
      </c>
      <c r="U4" s="280">
        <v>137</v>
      </c>
      <c r="V4" s="578">
        <v>548000</v>
      </c>
      <c r="W4" s="579"/>
    </row>
    <row r="5" spans="1:23" ht="15.75" thickBot="1" x14ac:dyDescent="0.3">
      <c r="B5" s="60" t="s">
        <v>146</v>
      </c>
      <c r="C5" s="115">
        <f>SUM('Operational Diesel Emissions'!B43,'Op. LK Calcination-NG Emissions'!I33,'Limestone Delivery Emissions'!E37,'Other Operational Emissions'!C38*2000)</f>
        <v>37489.323050873085</v>
      </c>
      <c r="D5" s="115">
        <f>SUM('Operational Diesel Emissions'!C43,'Op. LK Calcination-NG Emissions'!J33,'Limestone Delivery Emissions'!E38,'Other Operational Emissions'!D38*2000)</f>
        <v>13831.137836897529</v>
      </c>
      <c r="E5" s="115">
        <f>SUM('Operational Diesel Emissions'!D43,'Op. LK Calcination-NG Emissions'!K33,'Limestone Delivery Emissions'!E39,'Other Operational Emissions'!E38*2000)</f>
        <v>334.48199575422802</v>
      </c>
      <c r="F5" s="115">
        <f>SUM('Operational Diesel Emissions'!E43,'Op. LK Calcination-NG Emissions'!L33,'Limestone Delivery Emissions'!E40,'Other Operational Emissions'!H38*2000)</f>
        <v>26741.280544733221</v>
      </c>
      <c r="G5" s="115">
        <f>SUM('Operational Diesel Emissions'!F43,'Op. LK Calcination-NG Emissions'!M33,'Limestone Delivery Emissions'!E41,'Other Operational Emissions'!K38*2000)</f>
        <v>11983.492144315431</v>
      </c>
      <c r="H5" s="115">
        <f>SUM('Operational Diesel Emissions'!G43,'Op. LK Calcination-NG Emissions'!O33,'Limestone Delivery Emissions'!E43,'Other Operational Emissions'!B38*2000)</f>
        <v>5922.9968044276111</v>
      </c>
      <c r="I5" s="130" t="s">
        <v>149</v>
      </c>
      <c r="J5" s="77" t="s">
        <v>149</v>
      </c>
      <c r="K5" s="78" t="s">
        <v>149</v>
      </c>
      <c r="N5" s="585"/>
      <c r="O5" s="122" t="s">
        <v>170</v>
      </c>
      <c r="P5" s="255">
        <v>25</v>
      </c>
      <c r="Q5" s="256">
        <v>100</v>
      </c>
      <c r="R5" s="256">
        <v>25</v>
      </c>
      <c r="S5" s="256">
        <v>15</v>
      </c>
      <c r="T5" s="256">
        <v>12</v>
      </c>
      <c r="U5" s="281">
        <v>25</v>
      </c>
      <c r="V5" s="580">
        <v>100000</v>
      </c>
      <c r="W5" s="581"/>
    </row>
    <row r="6" spans="1:23" ht="15.75" customHeight="1" x14ac:dyDescent="0.25">
      <c r="B6" s="60" t="s">
        <v>263</v>
      </c>
      <c r="C6" s="115">
        <f>C5/2000</f>
        <v>18.744661525436541</v>
      </c>
      <c r="D6" s="115">
        <f t="shared" ref="D6:H6" si="0">D5/2000</f>
        <v>6.9155689184487645</v>
      </c>
      <c r="E6" s="115">
        <f t="shared" si="0"/>
        <v>0.16724099787711402</v>
      </c>
      <c r="F6" s="115">
        <f t="shared" si="0"/>
        <v>13.370640272366611</v>
      </c>
      <c r="G6" s="115">
        <f t="shared" si="0"/>
        <v>5.9917460721577154</v>
      </c>
      <c r="H6" s="115">
        <f t="shared" si="0"/>
        <v>2.9614984022138056</v>
      </c>
      <c r="I6" s="136">
        <f>I8/0.907</f>
        <v>159065.34193020721</v>
      </c>
      <c r="J6" s="136">
        <f>J8/0.907</f>
        <v>1.9776299305887168</v>
      </c>
      <c r="K6" s="136">
        <f>K8/0.907</f>
        <v>6.0084536145542822E-2</v>
      </c>
      <c r="N6" s="584" t="s">
        <v>172</v>
      </c>
      <c r="O6" s="230" t="s">
        <v>169</v>
      </c>
      <c r="P6" s="277">
        <f>CONVERT(C15/365,"ton","lbm")</f>
        <v>70.744657534246571</v>
      </c>
      <c r="Q6" s="278">
        <f t="shared" ref="Q6:T6" si="1">CONVERT(D15/365,"ton","lbm")</f>
        <v>72.20219178082192</v>
      </c>
      <c r="R6" s="278">
        <f t="shared" si="1"/>
        <v>0.21369863013698628</v>
      </c>
      <c r="S6" s="278">
        <f t="shared" si="1"/>
        <v>12.577534246575341</v>
      </c>
      <c r="T6" s="278">
        <f t="shared" si="1"/>
        <v>4.7578082191780826</v>
      </c>
      <c r="U6" s="282">
        <f>CONVERT(H15/365,"ton","lbm")</f>
        <v>9.5857534246575327</v>
      </c>
      <c r="V6" s="598">
        <f>CONVERT(J19/365,"ton","lbm")</f>
        <v>21658.82647898385</v>
      </c>
      <c r="W6" s="599"/>
    </row>
    <row r="7" spans="1:23" ht="15.75" thickBot="1" x14ac:dyDescent="0.3">
      <c r="B7" s="60" t="s">
        <v>147</v>
      </c>
      <c r="C7" s="79" t="s">
        <v>149</v>
      </c>
      <c r="D7" s="77" t="s">
        <v>149</v>
      </c>
      <c r="E7" s="77" t="s">
        <v>149</v>
      </c>
      <c r="F7" s="77" t="s">
        <v>149</v>
      </c>
      <c r="G7" s="77" t="s">
        <v>149</v>
      </c>
      <c r="H7" s="130" t="s">
        <v>149</v>
      </c>
      <c r="I7" s="131">
        <f>SUM('Op. LK Calcination-NG Emissions'!P35)</f>
        <v>16.325863701318237</v>
      </c>
      <c r="J7" s="111">
        <f>SUM('Operational Diesel Emissions'!I45,'Op. LK Calcination-NG Emissions'!Q35)</f>
        <v>5.6270964304395573E-5</v>
      </c>
      <c r="K7" s="112">
        <f>SUM('Operational Diesel Emissions'!J45,'Op. LK Calcination-NG Emissions'!R35)</f>
        <v>0.12042470227536674</v>
      </c>
      <c r="N7" s="585"/>
      <c r="O7" s="122" t="s">
        <v>170</v>
      </c>
      <c r="P7" s="124">
        <f>CONVERT(P6,"lbm","ton")*365</f>
        <v>12.910899999999998</v>
      </c>
      <c r="Q7" s="125">
        <f t="shared" ref="Q7:T7" si="2">CONVERT(Q6,"lbm","ton")*365</f>
        <v>13.1769</v>
      </c>
      <c r="R7" s="116">
        <f t="shared" si="2"/>
        <v>3.9E-2</v>
      </c>
      <c r="S7" s="125">
        <f t="shared" si="2"/>
        <v>2.2953999999999999</v>
      </c>
      <c r="T7" s="125">
        <f t="shared" si="2"/>
        <v>0.86830000000000007</v>
      </c>
      <c r="U7" s="283">
        <f>H15</f>
        <v>1.7494000000000001</v>
      </c>
      <c r="V7" s="596">
        <f>J19</f>
        <v>3952.735832414553</v>
      </c>
      <c r="W7" s="597"/>
    </row>
    <row r="8" spans="1:23" ht="15.75" thickBot="1" x14ac:dyDescent="0.3">
      <c r="B8" s="61" t="s">
        <v>148</v>
      </c>
      <c r="C8" s="133" t="s">
        <v>149</v>
      </c>
      <c r="D8" s="134" t="s">
        <v>149</v>
      </c>
      <c r="E8" s="134" t="s">
        <v>149</v>
      </c>
      <c r="F8" s="134" t="s">
        <v>149</v>
      </c>
      <c r="G8" s="134" t="s">
        <v>149</v>
      </c>
      <c r="H8" s="81" t="s">
        <v>149</v>
      </c>
      <c r="I8" s="131">
        <f>SUM('Operational Diesel Emissions'!H46,'Op. LK Calcination-NG Emissions'!P36)+'Other Operational Emissions'!N38+(0.907*'Limestone Delivery Emissions'!E42/2000)</f>
        <v>144272.26513069795</v>
      </c>
      <c r="J8" s="111">
        <f>SUM('Operational Diesel Emissions'!I46,'Op. LK Calcination-NG Emissions'!Q36)+'Other Operational Emissions'!O38+(0.907*'Limestone Delivery Emissions'!E44/2000)</f>
        <v>1.7937103470439661</v>
      </c>
      <c r="K8" s="112">
        <f>SUM('Operational Diesel Emissions'!J46,'Op. LK Calcination-NG Emissions'!R36)+'Other Operational Emissions'!P38+(0.907*'Limestone Delivery Emissions'!E45/2000)</f>
        <v>5.449667428400734E-2</v>
      </c>
      <c r="N8" s="39"/>
      <c r="O8" s="135" t="s">
        <v>176</v>
      </c>
    </row>
    <row r="9" spans="1:23" ht="15.75" thickBot="1" x14ac:dyDescent="0.3">
      <c r="B9" s="586" t="s">
        <v>174</v>
      </c>
      <c r="C9" s="588" t="s">
        <v>149</v>
      </c>
      <c r="D9" s="590" t="s">
        <v>149</v>
      </c>
      <c r="E9" s="590" t="s">
        <v>149</v>
      </c>
      <c r="F9" s="590" t="s">
        <v>149</v>
      </c>
      <c r="G9" s="590" t="s">
        <v>149</v>
      </c>
      <c r="H9" s="594" t="s">
        <v>149</v>
      </c>
      <c r="I9" s="132">
        <f>I8</f>
        <v>144272.26513069795</v>
      </c>
      <c r="J9" s="116">
        <f>J8*25</f>
        <v>44.842758676099152</v>
      </c>
      <c r="K9" s="117">
        <f>K8*298</f>
        <v>16.240008936634187</v>
      </c>
      <c r="L9" s="247"/>
    </row>
    <row r="10" spans="1:23" ht="15.75" customHeight="1" thickBot="1" x14ac:dyDescent="0.3">
      <c r="B10" s="587"/>
      <c r="C10" s="589"/>
      <c r="D10" s="591"/>
      <c r="E10" s="591"/>
      <c r="F10" s="591"/>
      <c r="G10" s="591"/>
      <c r="H10" s="595"/>
      <c r="I10" s="118" t="s">
        <v>173</v>
      </c>
      <c r="J10" s="600">
        <f>SUM(I9:K9)</f>
        <v>144333.34789831069</v>
      </c>
      <c r="K10" s="601"/>
      <c r="L10" s="272" t="s">
        <v>174</v>
      </c>
      <c r="O10" s="605" t="s">
        <v>280</v>
      </c>
      <c r="P10" s="606"/>
      <c r="Q10" s="606"/>
      <c r="R10" s="606"/>
      <c r="S10" s="606"/>
      <c r="T10" s="606"/>
      <c r="U10" s="606"/>
      <c r="V10" s="606"/>
      <c r="W10" s="607"/>
    </row>
    <row r="11" spans="1:23" ht="15.75" customHeight="1" thickBot="1" x14ac:dyDescent="0.3">
      <c r="I11" s="118" t="s">
        <v>173</v>
      </c>
      <c r="J11" s="600">
        <f>J10/0.907</f>
        <v>159132.6878702433</v>
      </c>
      <c r="K11" s="601"/>
      <c r="L11" s="273" t="s">
        <v>269</v>
      </c>
      <c r="O11" s="189" t="s">
        <v>100</v>
      </c>
      <c r="P11" s="227" t="s">
        <v>150</v>
      </c>
      <c r="Q11" s="228" t="s">
        <v>143</v>
      </c>
      <c r="R11" s="228" t="s">
        <v>151</v>
      </c>
      <c r="S11" s="228" t="s">
        <v>152</v>
      </c>
      <c r="T11" s="229" t="s">
        <v>153</v>
      </c>
      <c r="U11" s="311" t="s">
        <v>291</v>
      </c>
      <c r="V11" s="603" t="s">
        <v>175</v>
      </c>
      <c r="W11" s="604"/>
    </row>
    <row r="12" spans="1:23" ht="15.75" thickBot="1" x14ac:dyDescent="0.3">
      <c r="L12" s="274"/>
      <c r="N12" s="602" t="s">
        <v>171</v>
      </c>
      <c r="O12" s="234" t="s">
        <v>169</v>
      </c>
      <c r="P12" s="183">
        <v>137</v>
      </c>
      <c r="Q12" s="184">
        <v>548</v>
      </c>
      <c r="R12" s="184">
        <v>137</v>
      </c>
      <c r="S12" s="184">
        <v>82</v>
      </c>
      <c r="T12" s="86">
        <v>65</v>
      </c>
      <c r="U12" s="257">
        <v>137</v>
      </c>
      <c r="V12" s="578">
        <v>548000</v>
      </c>
      <c r="W12" s="579"/>
    </row>
    <row r="13" spans="1:23" ht="15.75" thickBot="1" x14ac:dyDescent="0.3">
      <c r="B13" s="383" t="s">
        <v>264</v>
      </c>
      <c r="C13" s="384"/>
      <c r="D13" s="384"/>
      <c r="E13" s="384"/>
      <c r="F13" s="384"/>
      <c r="G13" s="384"/>
      <c r="H13" s="384"/>
      <c r="I13" s="384"/>
      <c r="J13" s="384"/>
      <c r="K13" s="385"/>
      <c r="L13" s="274"/>
      <c r="N13" s="585"/>
      <c r="O13" s="122" t="s">
        <v>170</v>
      </c>
      <c r="P13" s="185">
        <v>25</v>
      </c>
      <c r="Q13" s="186">
        <v>100</v>
      </c>
      <c r="R13" s="186">
        <v>25</v>
      </c>
      <c r="S13" s="186">
        <v>15</v>
      </c>
      <c r="T13" s="235">
        <v>12</v>
      </c>
      <c r="U13" s="258">
        <v>25</v>
      </c>
      <c r="V13" s="580">
        <v>100000</v>
      </c>
      <c r="W13" s="581"/>
    </row>
    <row r="14" spans="1:23" ht="18.75" thickBot="1" x14ac:dyDescent="0.3">
      <c r="B14" s="84" t="s">
        <v>100</v>
      </c>
      <c r="C14" s="119" t="s">
        <v>150</v>
      </c>
      <c r="D14" s="105" t="s">
        <v>143</v>
      </c>
      <c r="E14" s="105" t="s">
        <v>151</v>
      </c>
      <c r="F14" s="105" t="s">
        <v>152</v>
      </c>
      <c r="G14" s="105" t="s">
        <v>153</v>
      </c>
      <c r="H14" s="284" t="s">
        <v>291</v>
      </c>
      <c r="I14" s="128" t="s">
        <v>168</v>
      </c>
      <c r="J14" s="102" t="s">
        <v>13</v>
      </c>
      <c r="K14" s="120" t="s">
        <v>14</v>
      </c>
      <c r="L14" s="274"/>
      <c r="N14" s="584" t="s">
        <v>172</v>
      </c>
      <c r="O14" s="230" t="s">
        <v>169</v>
      </c>
      <c r="P14" s="231">
        <f t="shared" ref="P14:U14" si="3">C4*24</f>
        <v>111.6026533555037</v>
      </c>
      <c r="Q14" s="232">
        <f t="shared" si="3"/>
        <v>38.41659768753324</v>
      </c>
      <c r="R14" s="232">
        <f t="shared" si="3"/>
        <v>0.9277310126012166</v>
      </c>
      <c r="S14" s="232">
        <f t="shared" si="3"/>
        <v>80.825104406056397</v>
      </c>
      <c r="T14" s="233">
        <f t="shared" si="3"/>
        <v>12.123765660908461</v>
      </c>
      <c r="U14" s="312">
        <f t="shared" si="3"/>
        <v>16.787136517203017</v>
      </c>
      <c r="V14" s="598">
        <f>J11*2000/365</f>
        <v>871959.93353557982</v>
      </c>
      <c r="W14" s="599"/>
    </row>
    <row r="15" spans="1:23" ht="15.75" thickBot="1" x14ac:dyDescent="0.3">
      <c r="B15" s="60" t="s">
        <v>271</v>
      </c>
      <c r="C15" s="115">
        <f>'Construction Emission Results'!C47</f>
        <v>12.9109</v>
      </c>
      <c r="D15" s="109">
        <f>'Construction Emission Results'!D47</f>
        <v>13.1769</v>
      </c>
      <c r="E15" s="109">
        <f>'Construction Emission Results'!E47</f>
        <v>3.9E-2</v>
      </c>
      <c r="F15" s="109">
        <f>'Construction Emission Results'!H47</f>
        <v>2.2953999999999999</v>
      </c>
      <c r="G15" s="239">
        <f>'Construction Emission Results'!K47</f>
        <v>0.86830000000000007</v>
      </c>
      <c r="H15" s="286">
        <f>'Construction Emission Results'!B47</f>
        <v>1.7494000000000001</v>
      </c>
      <c r="I15" s="241">
        <f>I16/0.907</f>
        <v>3940.9552370452038</v>
      </c>
      <c r="J15" s="241">
        <f t="shared" ref="J15:K15" si="4">J16/0.907</f>
        <v>0.47122381477398012</v>
      </c>
      <c r="K15" s="241">
        <f t="shared" si="4"/>
        <v>0</v>
      </c>
      <c r="L15" s="274"/>
      <c r="N15" s="585"/>
      <c r="O15" s="122" t="s">
        <v>170</v>
      </c>
      <c r="P15" s="124">
        <f t="shared" ref="P15:U15" si="5">C6</f>
        <v>18.744661525436541</v>
      </c>
      <c r="Q15" s="125">
        <f t="shared" si="5"/>
        <v>6.9155689184487645</v>
      </c>
      <c r="R15" s="125">
        <f t="shared" si="5"/>
        <v>0.16724099787711402</v>
      </c>
      <c r="S15" s="125">
        <f t="shared" si="5"/>
        <v>13.370640272366611</v>
      </c>
      <c r="T15" s="226">
        <f t="shared" si="5"/>
        <v>5.9917460721577154</v>
      </c>
      <c r="U15" s="279">
        <f t="shared" si="5"/>
        <v>2.9614984022138056</v>
      </c>
      <c r="V15" s="596">
        <f>J11</f>
        <v>159132.6878702433</v>
      </c>
      <c r="W15" s="597"/>
    </row>
    <row r="16" spans="1:23" ht="15.75" thickBot="1" x14ac:dyDescent="0.3">
      <c r="B16" s="61" t="s">
        <v>148</v>
      </c>
      <c r="C16" s="191" t="s">
        <v>149</v>
      </c>
      <c r="D16" s="190" t="s">
        <v>149</v>
      </c>
      <c r="E16" s="190" t="s">
        <v>149</v>
      </c>
      <c r="F16" s="190" t="s">
        <v>149</v>
      </c>
      <c r="G16" s="240" t="s">
        <v>149</v>
      </c>
      <c r="H16" s="240" t="s">
        <v>149</v>
      </c>
      <c r="I16" s="242">
        <f>'Construction Emission Results'!N47</f>
        <v>3574.4463999999998</v>
      </c>
      <c r="J16" s="162">
        <f>'Construction Emission Results'!O47</f>
        <v>0.4274</v>
      </c>
      <c r="K16" s="236">
        <f>'Construction Emission Results'!P47</f>
        <v>0</v>
      </c>
      <c r="L16" s="274"/>
      <c r="N16" s="39"/>
      <c r="O16" s="135" t="s">
        <v>176</v>
      </c>
    </row>
    <row r="17" spans="2:23" ht="18.75" thickBot="1" x14ac:dyDescent="0.3">
      <c r="B17" s="160" t="s">
        <v>174</v>
      </c>
      <c r="C17" s="237" t="s">
        <v>149</v>
      </c>
      <c r="D17" s="238" t="s">
        <v>149</v>
      </c>
      <c r="E17" s="238" t="s">
        <v>149</v>
      </c>
      <c r="F17" s="238" t="s">
        <v>149</v>
      </c>
      <c r="G17" s="238" t="s">
        <v>149</v>
      </c>
      <c r="H17" s="238" t="s">
        <v>149</v>
      </c>
      <c r="I17" s="243">
        <f>I16</f>
        <v>3574.4463999999998</v>
      </c>
      <c r="J17" s="210">
        <f>J16*25</f>
        <v>10.685</v>
      </c>
      <c r="K17" s="211">
        <f>K16*298</f>
        <v>0</v>
      </c>
      <c r="L17" s="274"/>
      <c r="O17" s="575" t="s">
        <v>350</v>
      </c>
      <c r="P17" s="575"/>
      <c r="Q17" s="575"/>
      <c r="R17" s="575"/>
      <c r="S17" s="575"/>
      <c r="T17" s="575"/>
      <c r="U17" s="575"/>
      <c r="V17" s="576">
        <f>(V15-V13)*0.9072</f>
        <v>53645.174435884721</v>
      </c>
      <c r="W17" s="577"/>
    </row>
    <row r="18" spans="2:23" ht="18.75" thickBot="1" x14ac:dyDescent="0.3">
      <c r="B18" s="244"/>
      <c r="C18" s="245"/>
      <c r="D18" s="245"/>
      <c r="E18" s="245"/>
      <c r="F18" s="245"/>
      <c r="G18" s="245"/>
      <c r="H18" s="245"/>
      <c r="I18" s="246" t="s">
        <v>173</v>
      </c>
      <c r="J18" s="582">
        <f>SUM(I17:K17)</f>
        <v>3585.1313999999998</v>
      </c>
      <c r="K18" s="583"/>
      <c r="L18" s="272" t="s">
        <v>174</v>
      </c>
    </row>
    <row r="19" spans="2:23" ht="18.75" thickBot="1" x14ac:dyDescent="0.3">
      <c r="I19" s="246" t="s">
        <v>173</v>
      </c>
      <c r="J19" s="582">
        <f>J18/0.907</f>
        <v>3952.735832414553</v>
      </c>
      <c r="K19" s="583"/>
      <c r="L19" s="272" t="s">
        <v>269</v>
      </c>
    </row>
    <row r="20" spans="2:23" ht="15.75" thickBot="1" x14ac:dyDescent="0.3">
      <c r="L20" s="274"/>
      <c r="V20" s="318"/>
    </row>
    <row r="21" spans="2:23" ht="15.75" thickBot="1" x14ac:dyDescent="0.3">
      <c r="B21" s="383" t="s">
        <v>265</v>
      </c>
      <c r="C21" s="384"/>
      <c r="D21" s="384"/>
      <c r="E21" s="384"/>
      <c r="F21" s="384"/>
      <c r="G21" s="384"/>
      <c r="H21" s="384"/>
      <c r="I21" s="384"/>
      <c r="J21" s="384"/>
      <c r="K21" s="385"/>
      <c r="L21" s="274"/>
    </row>
    <row r="22" spans="2:23" ht="18.75" thickBot="1" x14ac:dyDescent="0.3">
      <c r="B22" s="84" t="s">
        <v>100</v>
      </c>
      <c r="C22" s="119" t="s">
        <v>150</v>
      </c>
      <c r="D22" s="105" t="s">
        <v>143</v>
      </c>
      <c r="E22" s="105" t="s">
        <v>151</v>
      </c>
      <c r="F22" s="105" t="s">
        <v>152</v>
      </c>
      <c r="G22" s="105" t="s">
        <v>153</v>
      </c>
      <c r="H22" s="284" t="s">
        <v>291</v>
      </c>
      <c r="I22" s="128" t="s">
        <v>168</v>
      </c>
      <c r="J22" s="102" t="s">
        <v>13</v>
      </c>
      <c r="K22" s="120" t="s">
        <v>14</v>
      </c>
      <c r="L22" s="275"/>
    </row>
    <row r="23" spans="2:23" x14ac:dyDescent="0.25">
      <c r="B23" s="188" t="s">
        <v>266</v>
      </c>
      <c r="C23" s="113">
        <f t="shared" ref="C23:H23" si="6">C15*2</f>
        <v>25.8218</v>
      </c>
      <c r="D23" s="114">
        <f t="shared" si="6"/>
        <v>26.3538</v>
      </c>
      <c r="E23" s="114">
        <f t="shared" si="6"/>
        <v>7.8E-2</v>
      </c>
      <c r="F23" s="114">
        <f t="shared" si="6"/>
        <v>4.5907999999999998</v>
      </c>
      <c r="G23" s="313">
        <f t="shared" si="6"/>
        <v>1.7366000000000001</v>
      </c>
      <c r="H23" s="314">
        <f t="shared" si="6"/>
        <v>3.4988000000000001</v>
      </c>
      <c r="I23" s="241">
        <f>I24/0.907</f>
        <v>7881.9104740904077</v>
      </c>
      <c r="J23" s="241">
        <f t="shared" ref="J23:K23" si="7">J24/0.907</f>
        <v>0.94244762954796024</v>
      </c>
      <c r="K23" s="241">
        <f t="shared" si="7"/>
        <v>0</v>
      </c>
      <c r="L23" s="274"/>
    </row>
    <row r="24" spans="2:23" ht="15.75" thickBot="1" x14ac:dyDescent="0.3">
      <c r="B24" s="248" t="s">
        <v>268</v>
      </c>
      <c r="C24" s="80" t="s">
        <v>149</v>
      </c>
      <c r="D24" s="81" t="s">
        <v>149</v>
      </c>
      <c r="E24" s="81" t="s">
        <v>149</v>
      </c>
      <c r="F24" s="81" t="s">
        <v>149</v>
      </c>
      <c r="G24" s="250" t="s">
        <v>149</v>
      </c>
      <c r="H24" s="287" t="s">
        <v>149</v>
      </c>
      <c r="I24" s="185">
        <f>I16*2</f>
        <v>7148.8927999999996</v>
      </c>
      <c r="J24" s="186">
        <f>J16*2</f>
        <v>0.8548</v>
      </c>
      <c r="K24" s="182">
        <f>K16*2</f>
        <v>0</v>
      </c>
      <c r="L24" s="274"/>
    </row>
    <row r="25" spans="2:23" ht="18.75" thickBot="1" x14ac:dyDescent="0.3">
      <c r="B25" s="248" t="s">
        <v>267</v>
      </c>
      <c r="C25" s="80" t="s">
        <v>149</v>
      </c>
      <c r="D25" s="81" t="s">
        <v>149</v>
      </c>
      <c r="E25" s="81" t="s">
        <v>149</v>
      </c>
      <c r="F25" s="81" t="s">
        <v>149</v>
      </c>
      <c r="G25" s="250" t="s">
        <v>149</v>
      </c>
      <c r="H25" s="288" t="s">
        <v>149</v>
      </c>
      <c r="I25" s="243">
        <f>I24</f>
        <v>7148.8927999999996</v>
      </c>
      <c r="J25" s="210">
        <f>J24*25</f>
        <v>21.37</v>
      </c>
      <c r="K25" s="211">
        <f>K24*298</f>
        <v>0</v>
      </c>
      <c r="L25" s="272" t="s">
        <v>267</v>
      </c>
    </row>
    <row r="26" spans="2:23" ht="18.75" thickBot="1" x14ac:dyDescent="0.3">
      <c r="I26" s="249" t="s">
        <v>173</v>
      </c>
      <c r="J26" s="592">
        <f>SUM(I25:K25)</f>
        <v>7170.2627999999995</v>
      </c>
      <c r="K26" s="593"/>
      <c r="L26" s="272" t="s">
        <v>267</v>
      </c>
    </row>
    <row r="27" spans="2:23" ht="18.75" thickBot="1" x14ac:dyDescent="0.3">
      <c r="I27" s="246" t="s">
        <v>173</v>
      </c>
      <c r="J27" s="582">
        <f>J26/0.907</f>
        <v>7905.471664829106</v>
      </c>
      <c r="K27" s="583"/>
      <c r="L27" s="272" t="s">
        <v>270</v>
      </c>
    </row>
  </sheetData>
  <mergeCells count="34">
    <mergeCell ref="B2:K2"/>
    <mergeCell ref="N12:N13"/>
    <mergeCell ref="J11:K11"/>
    <mergeCell ref="V11:W11"/>
    <mergeCell ref="V12:W12"/>
    <mergeCell ref="O10:W10"/>
    <mergeCell ref="N6:N7"/>
    <mergeCell ref="V6:W6"/>
    <mergeCell ref="V7:W7"/>
    <mergeCell ref="O2:W2"/>
    <mergeCell ref="V3:W3"/>
    <mergeCell ref="N4:N5"/>
    <mergeCell ref="B21:K21"/>
    <mergeCell ref="H9:H10"/>
    <mergeCell ref="V15:W15"/>
    <mergeCell ref="V14:W14"/>
    <mergeCell ref="V13:W13"/>
    <mergeCell ref="J10:K10"/>
    <mergeCell ref="O17:U17"/>
    <mergeCell ref="V17:W17"/>
    <mergeCell ref="V4:W4"/>
    <mergeCell ref="V5:W5"/>
    <mergeCell ref="J27:K27"/>
    <mergeCell ref="B13:K13"/>
    <mergeCell ref="N14:N15"/>
    <mergeCell ref="B9:B10"/>
    <mergeCell ref="C9:C10"/>
    <mergeCell ref="G9:G10"/>
    <mergeCell ref="F9:F10"/>
    <mergeCell ref="E9:E10"/>
    <mergeCell ref="D9:D10"/>
    <mergeCell ref="J26:K26"/>
    <mergeCell ref="J19:K19"/>
    <mergeCell ref="J18:K18"/>
  </mergeCells>
  <conditionalFormatting sqref="P14 P6:U6">
    <cfRule type="cellIs" dxfId="11" priority="24" operator="greaterThan">
      <formula>$P$12</formula>
    </cfRule>
  </conditionalFormatting>
  <conditionalFormatting sqref="P15 P7">
    <cfRule type="cellIs" dxfId="10" priority="23" operator="greaterThan">
      <formula>$P$13</formula>
    </cfRule>
  </conditionalFormatting>
  <conditionalFormatting sqref="Q14">
    <cfRule type="cellIs" dxfId="9" priority="22" operator="greaterThan">
      <formula>$Q$12</formula>
    </cfRule>
  </conditionalFormatting>
  <conditionalFormatting sqref="Q15 Q7">
    <cfRule type="cellIs" dxfId="8" priority="21" operator="greaterThan">
      <formula>$Q$13</formula>
    </cfRule>
  </conditionalFormatting>
  <conditionalFormatting sqref="R14">
    <cfRule type="cellIs" dxfId="7" priority="20" operator="greaterThan">
      <formula>$R$12</formula>
    </cfRule>
  </conditionalFormatting>
  <conditionalFormatting sqref="R15 R7">
    <cfRule type="cellIs" dxfId="6" priority="19" operator="greaterThan">
      <formula>$R$13</formula>
    </cfRule>
  </conditionalFormatting>
  <conditionalFormatting sqref="S14">
    <cfRule type="cellIs" dxfId="5" priority="18" operator="greaterThan">
      <formula>$S$12</formula>
    </cfRule>
  </conditionalFormatting>
  <conditionalFormatting sqref="S15 S7">
    <cfRule type="cellIs" dxfId="4" priority="17" operator="greaterThan">
      <formula>$S$13</formula>
    </cfRule>
  </conditionalFormatting>
  <conditionalFormatting sqref="T14:U14">
    <cfRule type="cellIs" dxfId="3" priority="16" operator="greaterThan">
      <formula>$T$12</formula>
    </cfRule>
  </conditionalFormatting>
  <conditionalFormatting sqref="T15:U15 T7:U7">
    <cfRule type="cellIs" dxfId="2" priority="15" operator="greaterThan">
      <formula>$T$13</formula>
    </cfRule>
  </conditionalFormatting>
  <conditionalFormatting sqref="V14 V6">
    <cfRule type="cellIs" dxfId="1" priority="14" operator="greaterThan">
      <formula>$V$12</formula>
    </cfRule>
  </conditionalFormatting>
  <conditionalFormatting sqref="V15 V7">
    <cfRule type="cellIs" dxfId="0" priority="13" operator="greaterThan">
      <formula>$V$13</formula>
    </cfRule>
  </conditionalFormatting>
  <printOptions horizontalCentered="1"/>
  <pageMargins left="0" right="0" top="1" bottom="0" header="0" footer="0"/>
  <pageSetup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10" zoomScale="115" zoomScaleNormal="115" workbookViewId="0">
      <selection activeCell="O13" sqref="O13"/>
    </sheetView>
  </sheetViews>
  <sheetFormatPr defaultRowHeight="15" x14ac:dyDescent="0.25"/>
  <cols>
    <col min="2" max="2" width="12" bestFit="1" customWidth="1"/>
    <col min="3" max="3" width="12.140625" customWidth="1"/>
    <col min="4" max="4" width="9.7109375" customWidth="1"/>
    <col min="5" max="6" width="9.140625" customWidth="1"/>
    <col min="8" max="8" width="10.5703125" customWidth="1"/>
    <col min="12" max="12" width="3.28515625" customWidth="1"/>
    <col min="13" max="13" width="12" customWidth="1"/>
    <col min="15" max="15" width="12.5703125" customWidth="1"/>
  </cols>
  <sheetData>
    <row r="1" spans="1:17" x14ac:dyDescent="0.25">
      <c r="A1" s="65" t="s">
        <v>76</v>
      </c>
    </row>
    <row r="2" spans="1:17" x14ac:dyDescent="0.25">
      <c r="A2" t="s">
        <v>77</v>
      </c>
    </row>
    <row r="3" spans="1:17" x14ac:dyDescent="0.25">
      <c r="A3" t="s">
        <v>78</v>
      </c>
    </row>
    <row r="4" spans="1:17" x14ac:dyDescent="0.25">
      <c r="A4" t="s">
        <v>79</v>
      </c>
    </row>
    <row r="5" spans="1:17" x14ac:dyDescent="0.25">
      <c r="A5" t="s">
        <v>83</v>
      </c>
    </row>
    <row r="6" spans="1:17" x14ac:dyDescent="0.25">
      <c r="A6" t="s">
        <v>80</v>
      </c>
    </row>
    <row r="9" spans="1:17" x14ac:dyDescent="0.25">
      <c r="A9" s="65" t="s">
        <v>11</v>
      </c>
    </row>
    <row r="10" spans="1:17" x14ac:dyDescent="0.25">
      <c r="A10" t="s">
        <v>81</v>
      </c>
    </row>
    <row r="11" spans="1:17" ht="15.75" thickBot="1" x14ac:dyDescent="0.3"/>
    <row r="12" spans="1:17" ht="18.75" thickBot="1" x14ac:dyDescent="0.4">
      <c r="B12" s="618" t="s">
        <v>65</v>
      </c>
      <c r="C12" s="619"/>
      <c r="D12" s="619"/>
      <c r="E12" s="619"/>
      <c r="F12" s="619"/>
      <c r="G12" s="619"/>
      <c r="H12" s="619"/>
      <c r="I12" s="619"/>
      <c r="J12" s="619"/>
      <c r="K12" s="620"/>
      <c r="M12" s="618" t="s">
        <v>66</v>
      </c>
      <c r="N12" s="619"/>
      <c r="O12" s="619"/>
      <c r="P12" s="619"/>
      <c r="Q12" s="620"/>
    </row>
    <row r="13" spans="1:17" ht="18" x14ac:dyDescent="0.25">
      <c r="A13" s="31"/>
      <c r="B13" s="630" t="s">
        <v>41</v>
      </c>
      <c r="C13" s="631"/>
      <c r="D13" s="46" t="s">
        <v>44</v>
      </c>
      <c r="E13" s="47" t="s">
        <v>27</v>
      </c>
      <c r="F13" s="46" t="s">
        <v>26</v>
      </c>
      <c r="G13" s="47" t="s">
        <v>28</v>
      </c>
      <c r="H13" s="46" t="s">
        <v>45</v>
      </c>
      <c r="I13" s="27"/>
      <c r="J13" s="27"/>
      <c r="K13" s="40"/>
      <c r="L13" s="25"/>
      <c r="M13" s="388" t="s">
        <v>40</v>
      </c>
      <c r="N13" s="389"/>
      <c r="O13" s="27">
        <f>H20*2000/2205</f>
        <v>71.772242166455314</v>
      </c>
      <c r="P13" s="623" t="s">
        <v>53</v>
      </c>
      <c r="Q13" s="624"/>
    </row>
    <row r="14" spans="1:17" x14ac:dyDescent="0.25">
      <c r="B14" s="41"/>
      <c r="C14" s="48" t="s">
        <v>29</v>
      </c>
      <c r="D14" s="26">
        <v>40.078000000000003</v>
      </c>
      <c r="E14" s="49" t="s">
        <v>29</v>
      </c>
      <c r="F14" s="42">
        <v>40.078000000000003</v>
      </c>
      <c r="G14" s="49" t="s">
        <v>30</v>
      </c>
      <c r="H14" s="42">
        <v>12.0107</v>
      </c>
      <c r="I14" s="27" t="s">
        <v>36</v>
      </c>
      <c r="J14" s="27"/>
      <c r="K14" s="40"/>
      <c r="L14" s="25"/>
      <c r="M14" s="390" t="s">
        <v>24</v>
      </c>
      <c r="N14" s="391"/>
      <c r="O14" s="27">
        <f>J29*2000/2205</f>
        <v>14.961730537123517</v>
      </c>
      <c r="P14" s="449" t="s">
        <v>53</v>
      </c>
      <c r="Q14" s="625"/>
    </row>
    <row r="15" spans="1:17" x14ac:dyDescent="0.25">
      <c r="B15" s="41"/>
      <c r="C15" s="48" t="s">
        <v>30</v>
      </c>
      <c r="D15" s="26">
        <v>12.0107</v>
      </c>
      <c r="E15" s="48" t="s">
        <v>32</v>
      </c>
      <c r="F15" s="26">
        <v>15.9994</v>
      </c>
      <c r="G15" s="48" t="s">
        <v>33</v>
      </c>
      <c r="H15" s="26">
        <f>2*15.994</f>
        <v>31.988</v>
      </c>
      <c r="I15" s="27" t="s">
        <v>36</v>
      </c>
      <c r="J15" s="27"/>
      <c r="K15" s="28"/>
      <c r="M15" s="614" t="s">
        <v>42</v>
      </c>
      <c r="N15" s="615"/>
      <c r="O15" s="53">
        <f>SUM(O13:O14)</f>
        <v>86.733972703578829</v>
      </c>
      <c r="P15" s="626" t="s">
        <v>53</v>
      </c>
      <c r="Q15" s="627"/>
    </row>
    <row r="16" spans="1:17" ht="15.75" thickBot="1" x14ac:dyDescent="0.3">
      <c r="B16" s="41"/>
      <c r="C16" s="48" t="s">
        <v>31</v>
      </c>
      <c r="D16" s="30">
        <f>3*15.9994</f>
        <v>47.998199999999997</v>
      </c>
      <c r="E16" s="29"/>
      <c r="F16" s="30"/>
      <c r="G16" s="29"/>
      <c r="H16" s="30"/>
      <c r="I16" s="27" t="s">
        <v>36</v>
      </c>
      <c r="J16" s="27"/>
      <c r="K16" s="28"/>
      <c r="M16" s="616" t="s">
        <v>43</v>
      </c>
      <c r="N16" s="617"/>
      <c r="O16" s="54">
        <f>O15*365</f>
        <v>31657.900036806273</v>
      </c>
      <c r="P16" s="628" t="s">
        <v>56</v>
      </c>
      <c r="Q16" s="629"/>
    </row>
    <row r="17" spans="2:18" ht="15.75" thickBot="1" x14ac:dyDescent="0.3">
      <c r="B17" s="41"/>
      <c r="C17" s="32"/>
      <c r="D17" s="42">
        <f>SUM(D14:D16)</f>
        <v>100.0869</v>
      </c>
      <c r="E17" s="27"/>
      <c r="F17" s="26">
        <f>SUM(F14:F15)</f>
        <v>56.077400000000004</v>
      </c>
      <c r="G17" s="27"/>
      <c r="H17" s="26">
        <f>SUM(H14:H15)</f>
        <v>43.998699999999999</v>
      </c>
      <c r="I17" s="32" t="s">
        <v>36</v>
      </c>
      <c r="J17" s="27"/>
      <c r="K17" s="28"/>
      <c r="M17" s="39"/>
      <c r="N17" s="39"/>
      <c r="O17" s="39"/>
      <c r="P17" s="39"/>
      <c r="Q17" s="39"/>
    </row>
    <row r="18" spans="2:18" ht="18.75" thickBot="1" x14ac:dyDescent="0.4">
      <c r="B18" s="41"/>
      <c r="C18" s="27"/>
      <c r="D18" s="42">
        <f>D17/22.4</f>
        <v>4.4681651785714287</v>
      </c>
      <c r="E18" s="27"/>
      <c r="F18" s="26">
        <f>F17/22.4</f>
        <v>2.5034553571428577</v>
      </c>
      <c r="G18" s="27"/>
      <c r="H18" s="26">
        <f>H17/22.4</f>
        <v>1.9642276785714288</v>
      </c>
      <c r="I18" s="27" t="s">
        <v>37</v>
      </c>
      <c r="J18" s="27"/>
      <c r="K18" s="28"/>
      <c r="M18" s="618" t="s">
        <v>67</v>
      </c>
      <c r="N18" s="619"/>
      <c r="O18" s="619"/>
      <c r="P18" s="619"/>
      <c r="Q18" s="619"/>
      <c r="R18" s="620"/>
    </row>
    <row r="19" spans="2:18" ht="18" thickBot="1" x14ac:dyDescent="0.3">
      <c r="B19" s="41"/>
      <c r="C19" s="27"/>
      <c r="D19" s="26">
        <f>D18/(CONVERT(1,"l","ft^3"))</f>
        <v>126.52434790932345</v>
      </c>
      <c r="E19" s="27"/>
      <c r="F19" s="26">
        <f>F18/(CONVERT(1,"l","ft^3"))</f>
        <v>70.889961298134878</v>
      </c>
      <c r="G19" s="27"/>
      <c r="H19" s="26">
        <f>H18/(CONVERT(1,"l","ft^3"))</f>
        <v>55.620733845867441</v>
      </c>
      <c r="I19" s="27" t="s">
        <v>38</v>
      </c>
      <c r="J19" s="27"/>
      <c r="K19" s="28"/>
      <c r="M19" s="388" t="s">
        <v>54</v>
      </c>
      <c r="N19" s="389"/>
      <c r="O19" s="389"/>
      <c r="P19" s="32">
        <v>1E-3</v>
      </c>
      <c r="Q19" s="610" t="s">
        <v>58</v>
      </c>
      <c r="R19" s="611"/>
    </row>
    <row r="20" spans="2:18" x14ac:dyDescent="0.25">
      <c r="B20" s="41"/>
      <c r="C20" s="32">
        <f>65700/365</f>
        <v>180</v>
      </c>
      <c r="D20" s="32" t="s">
        <v>23</v>
      </c>
      <c r="E20" s="33" t="s">
        <v>27</v>
      </c>
      <c r="F20" s="51">
        <f>$C$20*(1-(1-(F19/($D$19))))</f>
        <v>100.85167989017545</v>
      </c>
      <c r="G20" s="32"/>
      <c r="H20" s="56">
        <f>$C$20*(1-(1-(H19/($D$19))))</f>
        <v>79.128896988516985</v>
      </c>
      <c r="I20" s="35" t="s">
        <v>23</v>
      </c>
      <c r="J20" s="27"/>
      <c r="K20" s="28"/>
      <c r="M20" s="390" t="s">
        <v>55</v>
      </c>
      <c r="N20" s="391"/>
      <c r="O20" s="391"/>
      <c r="P20" s="27">
        <v>50</v>
      </c>
      <c r="Q20" s="612" t="s">
        <v>35</v>
      </c>
      <c r="R20" s="613"/>
    </row>
    <row r="21" spans="2:18" ht="18" x14ac:dyDescent="0.35">
      <c r="B21" s="41"/>
      <c r="C21" s="27">
        <v>65700</v>
      </c>
      <c r="D21" s="27" t="s">
        <v>39</v>
      </c>
      <c r="E21" s="34" t="s">
        <v>27</v>
      </c>
      <c r="F21" s="26">
        <f>$C$21-($C$21*(1-(F19/($D$19))))</f>
        <v>36810.863159914035</v>
      </c>
      <c r="G21" s="27"/>
      <c r="H21" s="57">
        <f>$C$21-($C$21*(1-(H19/($D$19))))</f>
        <v>28882.047400808697</v>
      </c>
      <c r="I21" s="36" t="s">
        <v>39</v>
      </c>
      <c r="J21" s="27"/>
      <c r="K21" s="28"/>
      <c r="M21" s="390" t="s">
        <v>57</v>
      </c>
      <c r="N21" s="391"/>
      <c r="O21" s="391"/>
      <c r="P21" s="27">
        <f>P19*P20*24</f>
        <v>1.2000000000000002</v>
      </c>
      <c r="Q21" s="612" t="s">
        <v>59</v>
      </c>
      <c r="R21" s="613"/>
    </row>
    <row r="22" spans="2:18" ht="18" x14ac:dyDescent="0.35">
      <c r="B22" s="41"/>
      <c r="C22" s="27"/>
      <c r="D22" s="27"/>
      <c r="E22" s="27"/>
      <c r="F22" s="27"/>
      <c r="G22" s="27"/>
      <c r="H22" s="27"/>
      <c r="I22" s="27"/>
      <c r="J22" s="27"/>
      <c r="K22" s="28"/>
      <c r="M22" s="614" t="s">
        <v>60</v>
      </c>
      <c r="N22" s="615"/>
      <c r="O22" s="615"/>
      <c r="P22" s="58">
        <f>P21*0.0012</f>
        <v>1.4400000000000001E-3</v>
      </c>
      <c r="Q22" s="608" t="s">
        <v>53</v>
      </c>
      <c r="R22" s="609"/>
    </row>
    <row r="23" spans="2:18" ht="18" x14ac:dyDescent="0.35">
      <c r="B23" s="621" t="s">
        <v>24</v>
      </c>
      <c r="C23" s="622"/>
      <c r="D23" s="46" t="s">
        <v>46</v>
      </c>
      <c r="E23" s="47" t="s">
        <v>28</v>
      </c>
      <c r="F23" s="46" t="s">
        <v>47</v>
      </c>
      <c r="G23" s="47" t="s">
        <v>27</v>
      </c>
      <c r="H23" s="46" t="s">
        <v>48</v>
      </c>
      <c r="I23" s="47" t="s">
        <v>28</v>
      </c>
      <c r="J23" s="46" t="s">
        <v>45</v>
      </c>
      <c r="K23" s="28"/>
      <c r="M23" s="614" t="s">
        <v>61</v>
      </c>
      <c r="N23" s="615"/>
      <c r="O23" s="615"/>
      <c r="P23" s="58">
        <f>P22*365</f>
        <v>0.52560000000000007</v>
      </c>
      <c r="Q23" s="608" t="s">
        <v>56</v>
      </c>
      <c r="R23" s="609"/>
    </row>
    <row r="24" spans="2:18" ht="18" x14ac:dyDescent="0.35">
      <c r="B24" s="41"/>
      <c r="C24" s="48" t="s">
        <v>30</v>
      </c>
      <c r="D24" s="26">
        <v>12.0107</v>
      </c>
      <c r="E24" s="48" t="s">
        <v>50</v>
      </c>
      <c r="F24" s="26">
        <f>2*(2*15.9994)</f>
        <v>63.997599999999998</v>
      </c>
      <c r="G24" s="48" t="s">
        <v>51</v>
      </c>
      <c r="H24" s="26">
        <f>2*(2*1.00794)</f>
        <v>4.0317600000000002</v>
      </c>
      <c r="I24" s="48" t="s">
        <v>30</v>
      </c>
      <c r="J24" s="26">
        <v>12.0107</v>
      </c>
      <c r="K24" s="28" t="s">
        <v>36</v>
      </c>
      <c r="M24" s="390" t="s">
        <v>70</v>
      </c>
      <c r="N24" s="391"/>
      <c r="O24" s="391"/>
      <c r="P24" s="27">
        <v>25</v>
      </c>
      <c r="Q24" s="27"/>
      <c r="R24" s="28"/>
    </row>
    <row r="25" spans="2:18" ht="18.75" thickBot="1" x14ac:dyDescent="0.4">
      <c r="B25" s="41"/>
      <c r="C25" s="48" t="s">
        <v>49</v>
      </c>
      <c r="D25" s="30">
        <f>1.00794*4</f>
        <v>4.0317600000000002</v>
      </c>
      <c r="E25" s="30"/>
      <c r="F25" s="30"/>
      <c r="G25" s="50" t="s">
        <v>34</v>
      </c>
      <c r="H25" s="30">
        <f>2*15.9994</f>
        <v>31.998799999999999</v>
      </c>
      <c r="I25" s="50" t="s">
        <v>52</v>
      </c>
      <c r="J25" s="30">
        <f>2*15.9994</f>
        <v>31.998799999999999</v>
      </c>
      <c r="K25" s="28" t="s">
        <v>36</v>
      </c>
      <c r="M25" s="616" t="s">
        <v>69</v>
      </c>
      <c r="N25" s="617"/>
      <c r="O25" s="617"/>
      <c r="P25" s="54">
        <f>P23*P24</f>
        <v>13.140000000000002</v>
      </c>
      <c r="Q25" s="632" t="s">
        <v>56</v>
      </c>
      <c r="R25" s="633"/>
    </row>
    <row r="26" spans="2:18" ht="15.75" thickBot="1" x14ac:dyDescent="0.3">
      <c r="B26" s="41"/>
      <c r="C26" s="32"/>
      <c r="D26" s="26">
        <f>SUM(D24:D25)</f>
        <v>16.042459999999998</v>
      </c>
      <c r="E26" s="27"/>
      <c r="F26" s="26">
        <f>SUM(F24:F25)</f>
        <v>63.997599999999998</v>
      </c>
      <c r="G26" s="27"/>
      <c r="H26" s="26">
        <f>SUM(H24:H25)</f>
        <v>36.030560000000001</v>
      </c>
      <c r="I26" s="27"/>
      <c r="J26" s="26">
        <f>SUM(J24:J25)</f>
        <v>44.009500000000003</v>
      </c>
      <c r="K26" s="37" t="s">
        <v>36</v>
      </c>
    </row>
    <row r="27" spans="2:18" ht="18.75" thickBot="1" x14ac:dyDescent="0.4">
      <c r="B27" s="41"/>
      <c r="C27" s="27"/>
      <c r="D27" s="26">
        <f>D26/22.4</f>
        <v>0.71618124999999999</v>
      </c>
      <c r="E27" s="27"/>
      <c r="F27" s="26">
        <f>F26/22.4</f>
        <v>2.8570357142857143</v>
      </c>
      <c r="G27" s="27"/>
      <c r="H27" s="26">
        <f>H26/22.4</f>
        <v>1.6085071428571429</v>
      </c>
      <c r="I27" s="27"/>
      <c r="J27" s="26">
        <f>J26/22.4</f>
        <v>1.9647098214285716</v>
      </c>
      <c r="K27" s="28" t="s">
        <v>37</v>
      </c>
      <c r="M27" s="618" t="s">
        <v>68</v>
      </c>
      <c r="N27" s="619"/>
      <c r="O27" s="619"/>
      <c r="P27" s="619"/>
      <c r="Q27" s="619"/>
      <c r="R27" s="620"/>
    </row>
    <row r="28" spans="2:18" ht="18" thickBot="1" x14ac:dyDescent="0.3">
      <c r="B28" s="41"/>
      <c r="C28" s="27"/>
      <c r="D28" s="26">
        <f>D27*28.3168</f>
        <v>20.279961220000001</v>
      </c>
      <c r="E28" s="27"/>
      <c r="F28" s="26">
        <f>F27/(CONVERT(1,"l","ft^3"))</f>
        <v>80.902242029293731</v>
      </c>
      <c r="G28" s="27"/>
      <c r="H28" s="26">
        <f>H27*28.3168</f>
        <v>45.547775062857148</v>
      </c>
      <c r="I28" s="27"/>
      <c r="J28" s="26">
        <f>J27/(CONVERT(1,"l","ft^3"))</f>
        <v>55.634386611188582</v>
      </c>
      <c r="K28" s="28" t="s">
        <v>38</v>
      </c>
      <c r="M28" s="388" t="s">
        <v>54</v>
      </c>
      <c r="N28" s="389"/>
      <c r="O28" s="389"/>
      <c r="P28" s="32">
        <v>1E-4</v>
      </c>
      <c r="Q28" s="610" t="s">
        <v>58</v>
      </c>
      <c r="R28" s="611"/>
    </row>
    <row r="29" spans="2:18" x14ac:dyDescent="0.25">
      <c r="B29" s="41"/>
      <c r="C29" s="32"/>
      <c r="D29" s="32"/>
      <c r="E29" s="32">
        <v>30</v>
      </c>
      <c r="F29" s="32" t="s">
        <v>23</v>
      </c>
      <c r="G29" s="33" t="s">
        <v>27</v>
      </c>
      <c r="H29" s="51">
        <f>$E$29-($E$29*(1-(H28/($D$28+$F$28))))</f>
        <v>13.504679755975292</v>
      </c>
      <c r="I29" s="32"/>
      <c r="J29" s="56">
        <f>$E$29-($E$29*(1-(J28/($D$28+$F$28))))</f>
        <v>16.495307917178678</v>
      </c>
      <c r="K29" s="43" t="s">
        <v>23</v>
      </c>
      <c r="M29" s="390" t="s">
        <v>55</v>
      </c>
      <c r="N29" s="391"/>
      <c r="O29" s="391"/>
      <c r="P29" s="27">
        <v>50</v>
      </c>
      <c r="Q29" s="612" t="s">
        <v>35</v>
      </c>
      <c r="R29" s="613"/>
    </row>
    <row r="30" spans="2:18" ht="18.75" thickBot="1" x14ac:dyDescent="0.4">
      <c r="B30" s="44"/>
      <c r="C30" s="29"/>
      <c r="D30" s="29"/>
      <c r="E30" s="29">
        <f>E29*365</f>
        <v>10950</v>
      </c>
      <c r="F30" s="29" t="s">
        <v>39</v>
      </c>
      <c r="G30" s="45" t="s">
        <v>27</v>
      </c>
      <c r="H30" s="30">
        <f>$E$30-($E$30*(1-(H28/($D$28+$F$28))))</f>
        <v>4929.208110930982</v>
      </c>
      <c r="I30" s="29"/>
      <c r="J30" s="55">
        <f>$E$30-($E$30*(1-(J28/($D$28+$F$28))))</f>
        <v>6020.7873897702184</v>
      </c>
      <c r="K30" s="38" t="s">
        <v>39</v>
      </c>
      <c r="M30" s="390" t="s">
        <v>62</v>
      </c>
      <c r="N30" s="391"/>
      <c r="O30" s="391"/>
      <c r="P30" s="27">
        <f>P28*P29*24</f>
        <v>0.12</v>
      </c>
      <c r="Q30" s="612" t="s">
        <v>59</v>
      </c>
      <c r="R30" s="613"/>
    </row>
    <row r="31" spans="2:18" ht="15" customHeight="1" x14ac:dyDescent="0.35">
      <c r="M31" s="614" t="s">
        <v>63</v>
      </c>
      <c r="N31" s="615"/>
      <c r="O31" s="615"/>
      <c r="P31" s="58">
        <f>P30*0.0012</f>
        <v>1.4399999999999998E-4</v>
      </c>
      <c r="Q31" s="608" t="s">
        <v>53</v>
      </c>
      <c r="R31" s="609"/>
    </row>
    <row r="32" spans="2:18" ht="18" x14ac:dyDescent="0.35">
      <c r="M32" s="614" t="s">
        <v>64</v>
      </c>
      <c r="N32" s="615"/>
      <c r="O32" s="615"/>
      <c r="P32" s="58">
        <f>P31*365</f>
        <v>5.2559999999999989E-2</v>
      </c>
      <c r="Q32" s="608" t="s">
        <v>56</v>
      </c>
      <c r="R32" s="609"/>
    </row>
    <row r="33" spans="1:18" ht="18" x14ac:dyDescent="0.35">
      <c r="M33" s="390" t="s">
        <v>71</v>
      </c>
      <c r="N33" s="391"/>
      <c r="O33" s="391"/>
      <c r="P33" s="27">
        <v>298</v>
      </c>
      <c r="Q33" s="27"/>
      <c r="R33" s="28"/>
    </row>
    <row r="34" spans="1:18" ht="18.75" thickBot="1" x14ac:dyDescent="0.4">
      <c r="M34" s="616" t="s">
        <v>69</v>
      </c>
      <c r="N34" s="617"/>
      <c r="O34" s="617"/>
      <c r="P34" s="54">
        <f>P32*P33</f>
        <v>15.662879999999996</v>
      </c>
      <c r="Q34" s="632" t="s">
        <v>56</v>
      </c>
      <c r="R34" s="633"/>
    </row>
    <row r="35" spans="1:18" x14ac:dyDescent="0.25">
      <c r="K35" s="39"/>
      <c r="L35" s="39"/>
      <c r="M35" s="59" t="s">
        <v>25</v>
      </c>
    </row>
    <row r="36" spans="1:18" x14ac:dyDescent="0.25">
      <c r="K36" s="39"/>
      <c r="L36" s="39"/>
      <c r="M36" s="39"/>
    </row>
    <row r="39" spans="1:18" x14ac:dyDescent="0.25">
      <c r="A39" s="52"/>
    </row>
  </sheetData>
  <mergeCells count="40">
    <mergeCell ref="M34:O34"/>
    <mergeCell ref="M24:O24"/>
    <mergeCell ref="M33:O33"/>
    <mergeCell ref="Q25:R25"/>
    <mergeCell ref="Q34:R34"/>
    <mergeCell ref="M28:O28"/>
    <mergeCell ref="Q28:R28"/>
    <mergeCell ref="M29:O29"/>
    <mergeCell ref="Q29:R29"/>
    <mergeCell ref="M30:O30"/>
    <mergeCell ref="Q30:R30"/>
    <mergeCell ref="M32:O32"/>
    <mergeCell ref="Q32:R32"/>
    <mergeCell ref="M27:R27"/>
    <mergeCell ref="M31:O31"/>
    <mergeCell ref="Q31:R31"/>
    <mergeCell ref="M25:O25"/>
    <mergeCell ref="B12:K12"/>
    <mergeCell ref="M13:N13"/>
    <mergeCell ref="M14:N14"/>
    <mergeCell ref="M15:N15"/>
    <mergeCell ref="M16:N16"/>
    <mergeCell ref="M12:Q12"/>
    <mergeCell ref="B23:C23"/>
    <mergeCell ref="P13:Q13"/>
    <mergeCell ref="P14:Q14"/>
    <mergeCell ref="P15:Q15"/>
    <mergeCell ref="P16:Q16"/>
    <mergeCell ref="B13:C13"/>
    <mergeCell ref="M18:R18"/>
    <mergeCell ref="M23:O23"/>
    <mergeCell ref="Q22:R22"/>
    <mergeCell ref="Q23:R23"/>
    <mergeCell ref="M20:O20"/>
    <mergeCell ref="M19:O19"/>
    <mergeCell ref="Q19:R19"/>
    <mergeCell ref="Q20:R20"/>
    <mergeCell ref="M21:O21"/>
    <mergeCell ref="M22:O22"/>
    <mergeCell ref="Q21:R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Trip GHG Generation Comparison</vt:lpstr>
      <vt:lpstr>Construction Emission Results</vt:lpstr>
      <vt:lpstr>Operational Diesel Emissions</vt:lpstr>
      <vt:lpstr>Limestone Delivery Emissions</vt:lpstr>
      <vt:lpstr>Op. LK Calcination-NG Emissions</vt:lpstr>
      <vt:lpstr>Other Operational Emissions</vt:lpstr>
      <vt:lpstr>Emissions Summary</vt:lpstr>
      <vt:lpstr>Theoretical Max GHG (Lime Kiln)</vt:lpstr>
      <vt:lpstr>'Construction Emission Results'!Print_Area</vt:lpstr>
      <vt:lpstr>'Emissions Summary'!Print_Area</vt:lpstr>
      <vt:lpstr>'Limestone Delivery Emissions'!Print_Area</vt:lpstr>
      <vt:lpstr>'Op. LK Calcination-NG Emissions'!Print_Area</vt:lpstr>
      <vt:lpstr>'Operational Diesel Emissions'!Print_Area</vt:lpstr>
      <vt:lpstr>'Other Operational Emissions'!Print_Area</vt:lpstr>
      <vt:lpstr>'Trip GHG Generation Comparison'!Print_Area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2020-03-14T00:05:03Z</dcterms:modified>
</cp:coreProperties>
</file>